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franc\OneDrive\Ambiente de Trabalho\Pasta meus documentos\Apontamentos de IRS - Autor Mesquita\"/>
    </mc:Choice>
  </mc:AlternateContent>
  <xr:revisionPtr revIDLastSave="0" documentId="13_ncr:1_{A0EBFF4B-7948-4ED0-A74F-20BA3DAC7299}" xr6:coauthVersionLast="47" xr6:coauthVersionMax="47" xr10:uidLastSave="{00000000-0000-0000-0000-000000000000}"/>
  <bookViews>
    <workbookView xWindow="-110" yWindow="-110" windowWidth="19420" windowHeight="10420" xr2:uid="{2959D463-B798-4B75-8035-837A7A3E1B9A}"/>
  </bookViews>
  <sheets>
    <sheet name="Simulador TI Seg. Social 2023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O55" i="4" l="1"/>
  <c r="G18" i="4" s="1"/>
  <c r="B48" i="4" l="1"/>
  <c r="C48" i="4" s="1"/>
  <c r="I48" i="4"/>
  <c r="E49" i="4"/>
  <c r="M56" i="4"/>
  <c r="G19" i="4" l="1"/>
  <c r="G20" i="4"/>
  <c r="K3" i="4"/>
  <c r="I10" i="4" l="1"/>
  <c r="I52" i="4" l="1"/>
  <c r="I53" i="4" s="1"/>
  <c r="S34" i="4" s="1"/>
  <c r="Q39" i="4" l="1"/>
  <c r="B36" i="4" l="1"/>
  <c r="B34" i="4"/>
  <c r="B37" i="4"/>
  <c r="B41" i="4"/>
  <c r="B38" i="4"/>
  <c r="B35" i="4"/>
  <c r="B39" i="4"/>
  <c r="B40" i="4"/>
  <c r="B42" i="4"/>
  <c r="N36" i="4" l="1"/>
  <c r="P34" i="4" l="1"/>
  <c r="E13" i="4" s="1"/>
  <c r="D48" i="4" l="1"/>
  <c r="D57" i="4"/>
  <c r="D49" i="4" l="1"/>
  <c r="D55" i="4" s="1"/>
  <c r="E48" i="4"/>
  <c r="D56" i="4" l="1"/>
  <c r="D52" i="4" s="1"/>
  <c r="D53" i="4" s="1"/>
  <c r="B43" i="4" l="1"/>
  <c r="C44" i="4" l="1"/>
  <c r="H34" i="4" l="1"/>
  <c r="H36" i="4"/>
  <c r="E41" i="4"/>
  <c r="E43" i="4"/>
  <c r="D36" i="4"/>
  <c r="D42" i="4"/>
  <c r="I37" i="4"/>
  <c r="E35" i="4"/>
  <c r="H42" i="4"/>
  <c r="I39" i="4"/>
  <c r="I41" i="4"/>
  <c r="H40" i="4"/>
  <c r="D38" i="4"/>
  <c r="E37" i="4"/>
  <c r="E39" i="4"/>
  <c r="D40" i="4"/>
  <c r="I43" i="4"/>
  <c r="D34" i="4"/>
  <c r="I35" i="4"/>
  <c r="H38" i="4"/>
  <c r="E44" i="4" l="1"/>
  <c r="B54" i="4" s="1"/>
  <c r="I44" i="4"/>
  <c r="B55" i="4" s="1"/>
  <c r="D44" i="4"/>
  <c r="H44" i="4"/>
  <c r="B57" i="4" l="1"/>
  <c r="Q35" i="4"/>
  <c r="Q37" i="4" s="1"/>
  <c r="B56" i="4"/>
  <c r="B51" i="4" s="1"/>
  <c r="Q47" i="4" l="1"/>
  <c r="P47" i="4" s="1"/>
  <c r="E25" i="4" s="1"/>
  <c r="C51" i="4"/>
  <c r="J51" i="4"/>
  <c r="C56" i="4"/>
  <c r="E52" i="4" l="1"/>
  <c r="E53" i="4"/>
  <c r="H53" i="4" s="1"/>
  <c r="J53" i="4" s="1"/>
  <c r="H55" i="4" l="1"/>
  <c r="H54" i="4" s="1"/>
  <c r="H56" i="4" s="1"/>
  <c r="Q48" i="4"/>
  <c r="H49" i="4" l="1"/>
  <c r="I49" i="4"/>
  <c r="S33" i="4" s="1"/>
  <c r="Q55" i="4"/>
  <c r="H25" i="4" s="1"/>
  <c r="T35" i="4"/>
  <c r="T36" i="4" s="1"/>
  <c r="T34" i="4"/>
  <c r="N48" i="4" s="1"/>
  <c r="F25" i="4"/>
  <c r="P48" i="4"/>
  <c r="J49" i="4" l="1"/>
  <c r="F23" i="4" s="1"/>
  <c r="T33" i="4" s="1"/>
  <c r="Q56" i="4"/>
  <c r="H26" i="4" s="1"/>
  <c r="J25" i="4"/>
  <c r="K25" i="4"/>
  <c r="K47" i="4"/>
  <c r="B25" i="4" s="1"/>
  <c r="Q58" i="4"/>
  <c r="S58" i="4" s="1"/>
  <c r="F28" i="4" s="1"/>
  <c r="Q50" i="4"/>
  <c r="P50" i="4" s="1"/>
  <c r="N49" i="4" l="1"/>
  <c r="Q46" i="4"/>
  <c r="P46" i="4" s="1"/>
  <c r="K23" i="4"/>
  <c r="J23" i="4"/>
  <c r="Q54" i="4"/>
  <c r="H24" i="4" s="1"/>
  <c r="Q57" i="4"/>
  <c r="K46" i="4"/>
  <c r="B23" i="4" s="1"/>
  <c r="Q53" i="4"/>
  <c r="H23" i="4" s="1"/>
  <c r="K39" i="4"/>
  <c r="K40" i="4" s="1"/>
  <c r="B30" i="4" s="1"/>
  <c r="M48" i="4"/>
  <c r="M49" i="4" l="1"/>
  <c r="H28" i="4"/>
  <c r="B28" i="4"/>
  <c r="K48" i="4"/>
  <c r="G28" i="4" s="1"/>
  <c r="E23" i="4"/>
</calcChain>
</file>

<file path=xl/sharedStrings.xml><?xml version="1.0" encoding="utf-8"?>
<sst xmlns="http://schemas.openxmlformats.org/spreadsheetml/2006/main" count="55" uniqueCount="50">
  <si>
    <t>＋</t>
  </si>
  <si>
    <t>－</t>
  </si>
  <si>
    <t>sim C/%</t>
  </si>
  <si>
    <t>não C/%</t>
  </si>
  <si>
    <t>não</t>
  </si>
  <si>
    <t>Com % TI + ENI</t>
  </si>
  <si>
    <t xml:space="preserve">sim </t>
  </si>
  <si>
    <t>OCC</t>
  </si>
  <si>
    <t>TI + ENI</t>
  </si>
  <si>
    <t>Sim</t>
  </si>
  <si>
    <t>Não</t>
  </si>
  <si>
    <t>Declaração na SS Direta relativa à faturação dos seguintes trimestres:</t>
  </si>
  <si>
    <t>Prazo limite para submissão da declaração via SS Direta:</t>
  </si>
  <si>
    <t>Taxa</t>
  </si>
  <si>
    <t>TI -Trabalhador Independente</t>
  </si>
  <si>
    <r>
      <t xml:space="preserve">Se tem uma remuneração mensal média da categoria A igual ou superior a </t>
    </r>
    <r>
      <rPr>
        <b/>
        <sz val="10"/>
        <rFont val="Calibri"/>
        <family val="2"/>
      </rPr>
      <t>→</t>
    </r>
  </si>
  <si>
    <t>ENI - Empresário em Nome Individual</t>
  </si>
  <si>
    <t>OBS: Este simulador não abrange a Contabilidade Organizada</t>
  </si>
  <si>
    <t xml:space="preserve">Valor total das prestações de serviços </t>
  </si>
  <si>
    <t>Valor total das vendas de mercadorias</t>
  </si>
  <si>
    <t xml:space="preserve">Valor total dos serviços de restauração </t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</si>
  <si>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 xml:space="preserve"> Só pode escrever nas células com esta cor </t>
    </r>
    <r>
      <rPr>
        <sz val="11"/>
        <rFont val="Calibri"/>
        <family val="2"/>
      </rPr>
      <t>→</t>
    </r>
  </si>
  <si>
    <r>
      <t xml:space="preserve">Escolha a percentagem de Variação  </t>
    </r>
    <r>
      <rPr>
        <b/>
        <sz val="11"/>
        <rFont val="Calibri"/>
        <family val="2"/>
      </rPr>
      <t>→</t>
    </r>
  </si>
  <si>
    <r>
      <t xml:space="preserve">Indique ali </t>
    </r>
    <r>
      <rPr>
        <b/>
        <sz val="12"/>
        <color theme="0"/>
        <rFont val="Calibri"/>
        <family val="2"/>
      </rPr>
      <t>↓</t>
    </r>
  </si>
  <si>
    <r>
      <t>Selecione ali o trimestre</t>
    </r>
    <r>
      <rPr>
        <b/>
        <i/>
        <sz val="12"/>
        <color theme="0"/>
        <rFont val="Calibri"/>
        <family val="2"/>
      </rPr>
      <t>↓</t>
    </r>
  </si>
  <si>
    <t>← IAS</t>
  </si>
  <si>
    <t>SIMULADOR</t>
  </si>
  <si>
    <t>Regime Contributivo para a Segurança Social dos Trabalhadores Independentes e Empresários em Nome Individual</t>
  </si>
  <si>
    <t>Anos</t>
  </si>
  <si>
    <r>
      <t>Selecione ali  a %</t>
    </r>
    <r>
      <rPr>
        <b/>
        <sz val="12"/>
        <color theme="0"/>
        <rFont val="Calibri"/>
        <family val="2"/>
      </rPr>
      <t>↓</t>
    </r>
  </si>
  <si>
    <r>
      <t xml:space="preserve">Selecione ali se é TI ou ENI </t>
    </r>
    <r>
      <rPr>
        <b/>
        <sz val="12"/>
        <color theme="0"/>
        <rFont val="Calibri"/>
        <family val="2"/>
      </rPr>
      <t>↓</t>
    </r>
  </si>
  <si>
    <r>
      <t>Insira ali o rendimento bruto do trimestre</t>
    </r>
    <r>
      <rPr>
        <b/>
        <i/>
        <sz val="12"/>
        <color theme="0"/>
        <rFont val="Calibri"/>
        <family val="2"/>
      </rPr>
      <t>↓</t>
    </r>
  </si>
  <si>
    <t>CONSULTE AQUI O NOVO REGIME DOS TRABALHADORES INDEPENDENTES</t>
  </si>
  <si>
    <r>
      <t xml:space="preserve">Ano </t>
    </r>
    <r>
      <rPr>
        <b/>
        <sz val="12"/>
        <color theme="0"/>
        <rFont val="Calibri"/>
        <family val="2"/>
      </rPr>
      <t>→</t>
    </r>
  </si>
  <si>
    <t>Entregar em abril referente a: JAN/FEV/MAR</t>
  </si>
  <si>
    <t>Entregar em julho referente a: ABR/MAI/JUN</t>
  </si>
  <si>
    <t>Entregar em outubro referente a: JUL/AGO/SET</t>
  </si>
  <si>
    <t>Entregar em janeiro referente a: OUT/NOV/DEZ</t>
  </si>
  <si>
    <t>Até 30 de abril de 2023</t>
  </si>
  <si>
    <t>Até 31 de outubro de 2023</t>
  </si>
  <si>
    <t>até 31 de janeiro de 2024</t>
  </si>
  <si>
    <t>Até 31 de julho de 2023</t>
  </si>
  <si>
    <t>1º Trimestre do ano de 2023 (JAN,FEV,MAR)</t>
  </si>
  <si>
    <t>2º Trimestre do ano de 2023 (ABR,MAI,JUN)</t>
  </si>
  <si>
    <t>3º Trimestre do ano de 2023 (JUL,AGO,SET)</t>
  </si>
  <si>
    <t>4º Trimestre do ano de 2023 (OUT,NOV,DEZ)</t>
  </si>
  <si>
    <t>1.º Trimestre</t>
  </si>
  <si>
    <t>2.º Trimestre</t>
  </si>
  <si>
    <t>3.º Trimestre</t>
  </si>
  <si>
    <t>4.º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</si>
</sst>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816]_-;\-* #,##0.00\ [$€-816]_-;_-* &quot;-&quot;??\ [$€-816]_-;_-@_-"/>
    <numFmt numFmtId="165" formatCode="\+0%"/>
    <numFmt numFmtId="166" formatCode="#,##0.00\ [$€-816];\-#,##0.00\ [$€-816]"/>
    <numFmt numFmtId="167" formatCode="#,##0_ ;\-#,##0\ "/>
  </numFmts>
  <fonts count="6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00FF"/>
      <name val="Arial Black"/>
      <family val="2"/>
    </font>
    <font>
      <sz val="11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Arial Black"/>
      <family val="2"/>
    </font>
    <font>
      <b/>
      <sz val="11.5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Black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 Black"/>
      <family val="2"/>
    </font>
    <font>
      <b/>
      <i/>
      <u/>
      <sz val="12"/>
      <name val="Calibri"/>
      <family val="2"/>
      <scheme val="minor"/>
    </font>
    <font>
      <b/>
      <i/>
      <sz val="9"/>
      <color rgb="FF002060"/>
      <name val="Arial Nova"/>
      <family val="2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rgb="FF002060"/>
      <name val="Arial Nova"/>
      <family val="2"/>
    </font>
    <font>
      <b/>
      <sz val="9"/>
      <color rgb="FF002060"/>
      <name val="Arial Nova"/>
      <family val="2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10"/>
      <color rgb="FF333333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i/>
      <sz val="12"/>
      <color theme="0"/>
      <name val="Calibri"/>
      <family val="2"/>
    </font>
    <font>
      <b/>
      <i/>
      <sz val="14"/>
      <name val="Arial"/>
      <family val="2"/>
    </font>
    <font>
      <b/>
      <sz val="9"/>
      <name val="Arial Black"/>
      <family val="2"/>
    </font>
    <font>
      <b/>
      <sz val="8"/>
      <name val="Verdana"/>
      <family val="2"/>
    </font>
    <font>
      <b/>
      <sz val="8"/>
      <color rgb="FF0000FF"/>
      <name val="Verdana"/>
      <family val="2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9"/>
      <color rgb="FFC00000"/>
      <name val="Calibri"/>
      <family val="2"/>
      <scheme val="minor"/>
    </font>
    <font>
      <sz val="9"/>
      <color rgb="FF222222"/>
      <name val="Montserrat"/>
    </font>
    <font>
      <b/>
      <sz val="10"/>
      <color rgb="FF0000FF"/>
      <name val="Calibri"/>
      <family val="2"/>
      <scheme val="minor"/>
    </font>
    <font>
      <b/>
      <i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8" xfId="0" applyBorder="1"/>
    <xf numFmtId="0" fontId="1" fillId="0" borderId="4" xfId="0" applyFont="1" applyBorder="1"/>
    <xf numFmtId="10" fontId="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9" xfId="0" applyFont="1" applyBorder="1"/>
    <xf numFmtId="0" fontId="17" fillId="0" borderId="9" xfId="0" applyFont="1" applyBorder="1" applyAlignment="1">
      <alignment horizontal="right" vertical="center"/>
    </xf>
    <xf numFmtId="0" fontId="1" fillId="0" borderId="10" xfId="0" applyFont="1" applyBorder="1"/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1" applyNumberFormat="1" applyFont="1"/>
    <xf numFmtId="164" fontId="0" fillId="0" borderId="1" xfId="2" applyNumberFormat="1" applyFont="1" applyBorder="1"/>
    <xf numFmtId="164" fontId="0" fillId="0" borderId="1" xfId="0" applyNumberFormat="1" applyBorder="1"/>
    <xf numFmtId="0" fontId="0" fillId="0" borderId="11" xfId="0" applyBorder="1"/>
    <xf numFmtId="164" fontId="1" fillId="0" borderId="11" xfId="0" applyNumberFormat="1" applyFont="1" applyBorder="1"/>
    <xf numFmtId="0" fontId="0" fillId="0" borderId="12" xfId="0" applyBorder="1"/>
    <xf numFmtId="164" fontId="0" fillId="0" borderId="9" xfId="0" applyNumberFormat="1" applyBorder="1"/>
    <xf numFmtId="0" fontId="16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0" fillId="0" borderId="10" xfId="0" applyNumberFormat="1" applyBorder="1"/>
    <xf numFmtId="0" fontId="1" fillId="0" borderId="12" xfId="0" applyFont="1" applyBorder="1"/>
    <xf numFmtId="0" fontId="20" fillId="0" borderId="0" xfId="0" applyFont="1"/>
    <xf numFmtId="164" fontId="23" fillId="0" borderId="0" xfId="0" applyNumberFormat="1" applyFont="1" applyAlignment="1">
      <alignment horizontal="left" vertical="center"/>
    </xf>
    <xf numFmtId="0" fontId="1" fillId="0" borderId="13" xfId="0" applyFont="1" applyBorder="1"/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64" fontId="0" fillId="0" borderId="11" xfId="0" applyNumberFormat="1" applyBorder="1"/>
    <xf numFmtId="0" fontId="24" fillId="0" borderId="18" xfId="0" applyFont="1" applyBorder="1"/>
    <xf numFmtId="0" fontId="18" fillId="0" borderId="19" xfId="0" applyFont="1" applyBorder="1"/>
    <xf numFmtId="0" fontId="9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19" xfId="0" applyFont="1" applyBorder="1"/>
    <xf numFmtId="164" fontId="24" fillId="0" borderId="19" xfId="0" applyNumberFormat="1" applyFont="1" applyBorder="1"/>
    <xf numFmtId="164" fontId="26" fillId="0" borderId="19" xfId="0" applyNumberFormat="1" applyFont="1" applyBorder="1" applyAlignment="1">
      <alignment horizontal="left"/>
    </xf>
    <xf numFmtId="0" fontId="18" fillId="0" borderId="22" xfId="0" applyFont="1" applyBorder="1"/>
    <xf numFmtId="164" fontId="26" fillId="0" borderId="22" xfId="0" applyNumberFormat="1" applyFont="1" applyBorder="1" applyAlignment="1">
      <alignment horizontal="left"/>
    </xf>
    <xf numFmtId="0" fontId="24" fillId="0" borderId="24" xfId="0" applyFont="1" applyBorder="1"/>
    <xf numFmtId="0" fontId="19" fillId="0" borderId="0" xfId="0" applyFont="1"/>
    <xf numFmtId="0" fontId="0" fillId="0" borderId="4" xfId="0" applyBorder="1"/>
    <xf numFmtId="164" fontId="10" fillId="0" borderId="13" xfId="0" applyNumberFormat="1" applyFont="1" applyBorder="1"/>
    <xf numFmtId="164" fontId="27" fillId="0" borderId="13" xfId="0" applyNumberFormat="1" applyFont="1" applyBorder="1"/>
    <xf numFmtId="164" fontId="30" fillId="0" borderId="10" xfId="0" applyNumberFormat="1" applyFont="1" applyBorder="1"/>
    <xf numFmtId="164" fontId="30" fillId="0" borderId="0" xfId="0" applyNumberFormat="1" applyFont="1"/>
    <xf numFmtId="0" fontId="24" fillId="3" borderId="18" xfId="0" applyFont="1" applyFill="1" applyBorder="1"/>
    <xf numFmtId="0" fontId="24" fillId="3" borderId="19" xfId="0" applyFont="1" applyFill="1" applyBorder="1"/>
    <xf numFmtId="164" fontId="24" fillId="3" borderId="19" xfId="1" applyNumberFormat="1" applyFont="1" applyFill="1" applyBorder="1"/>
    <xf numFmtId="164" fontId="24" fillId="3" borderId="19" xfId="0" applyNumberFormat="1" applyFont="1" applyFill="1" applyBorder="1"/>
    <xf numFmtId="0" fontId="24" fillId="3" borderId="24" xfId="0" applyFont="1" applyFill="1" applyBorder="1"/>
    <xf numFmtId="0" fontId="24" fillId="3" borderId="22" xfId="0" applyFont="1" applyFill="1" applyBorder="1"/>
    <xf numFmtId="0" fontId="24" fillId="3" borderId="20" xfId="0" applyFont="1" applyFill="1" applyBorder="1"/>
    <xf numFmtId="0" fontId="24" fillId="3" borderId="21" xfId="0" applyFont="1" applyFill="1" applyBorder="1"/>
    <xf numFmtId="0" fontId="24" fillId="3" borderId="25" xfId="0" applyFont="1" applyFill="1" applyBorder="1"/>
    <xf numFmtId="0" fontId="24" fillId="3" borderId="23" xfId="0" applyFont="1" applyFill="1" applyBorder="1"/>
    <xf numFmtId="0" fontId="0" fillId="0" borderId="26" xfId="0" applyBorder="1"/>
    <xf numFmtId="0" fontId="31" fillId="0" borderId="0" xfId="0" applyFont="1"/>
    <xf numFmtId="0" fontId="21" fillId="0" borderId="4" xfId="0" applyFont="1" applyBorder="1" applyAlignment="1">
      <alignment vertical="center" wrapText="1"/>
    </xf>
    <xf numFmtId="0" fontId="11" fillId="0" borderId="4" xfId="0" applyFont="1" applyBorder="1"/>
    <xf numFmtId="164" fontId="33" fillId="0" borderId="0" xfId="0" applyNumberFormat="1" applyFont="1" applyAlignment="1">
      <alignment horizontal="left"/>
    </xf>
    <xf numFmtId="164" fontId="33" fillId="0" borderId="0" xfId="0" applyNumberFormat="1" applyFont="1"/>
    <xf numFmtId="0" fontId="37" fillId="0" borderId="0" xfId="0" applyFont="1" applyAlignment="1">
      <alignment horizontal="left" wrapText="1"/>
    </xf>
    <xf numFmtId="10" fontId="16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0" fontId="36" fillId="0" borderId="0" xfId="0" applyFont="1" applyAlignment="1">
      <alignment vertical="center"/>
    </xf>
    <xf numFmtId="164" fontId="29" fillId="0" borderId="0" xfId="0" applyNumberFormat="1" applyFont="1"/>
    <xf numFmtId="0" fontId="28" fillId="0" borderId="7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9" fillId="0" borderId="8" xfId="0" applyFont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35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3" fillId="0" borderId="0" xfId="0" applyNumberFormat="1" applyFont="1"/>
    <xf numFmtId="164" fontId="39" fillId="0" borderId="0" xfId="0" applyNumberFormat="1" applyFont="1"/>
    <xf numFmtId="0" fontId="39" fillId="0" borderId="0" xfId="0" applyFont="1"/>
    <xf numFmtId="164" fontId="39" fillId="0" borderId="13" xfId="0" applyNumberFormat="1" applyFont="1" applyBorder="1"/>
    <xf numFmtId="164" fontId="40" fillId="0" borderId="0" xfId="0" applyNumberFormat="1" applyFont="1"/>
    <xf numFmtId="0" fontId="39" fillId="0" borderId="13" xfId="0" applyFont="1" applyBorder="1"/>
    <xf numFmtId="164" fontId="41" fillId="0" borderId="0" xfId="0" applyNumberFormat="1" applyFont="1"/>
    <xf numFmtId="0" fontId="33" fillId="0" borderId="0" xfId="0" applyFont="1" applyAlignment="1">
      <alignment horizontal="center" vertical="center"/>
    </xf>
    <xf numFmtId="0" fontId="44" fillId="0" borderId="0" xfId="0" applyFont="1"/>
    <xf numFmtId="0" fontId="45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right"/>
    </xf>
    <xf numFmtId="164" fontId="43" fillId="0" borderId="0" xfId="0" applyNumberFormat="1" applyFont="1" applyAlignment="1">
      <alignment horizontal="center" vertical="center"/>
    </xf>
    <xf numFmtId="164" fontId="7" fillId="6" borderId="0" xfId="0" applyNumberFormat="1" applyFont="1" applyFill="1" applyAlignment="1" applyProtection="1">
      <alignment horizontal="center" vertical="center"/>
      <protection locked="0"/>
    </xf>
    <xf numFmtId="10" fontId="4" fillId="6" borderId="0" xfId="0" applyNumberFormat="1" applyFont="1" applyFill="1" applyAlignment="1" applyProtection="1">
      <alignment horizontal="center" vertical="center"/>
      <protection locked="0"/>
    </xf>
    <xf numFmtId="164" fontId="12" fillId="0" borderId="0" xfId="0" applyNumberFormat="1" applyFont="1" applyAlignment="1">
      <alignment horizontal="right" vertical="center"/>
    </xf>
    <xf numFmtId="0" fontId="50" fillId="8" borderId="2" xfId="0" applyFont="1" applyFill="1" applyBorder="1" applyAlignment="1">
      <alignment horizontal="centerContinuous" vertical="center" wrapText="1"/>
    </xf>
    <xf numFmtId="0" fontId="50" fillId="8" borderId="3" xfId="0" applyFont="1" applyFill="1" applyBorder="1" applyAlignment="1">
      <alignment horizontal="centerContinuous" vertical="center" wrapText="1"/>
    </xf>
    <xf numFmtId="0" fontId="46" fillId="4" borderId="33" xfId="0" applyFont="1" applyFill="1" applyBorder="1" applyAlignment="1">
      <alignment horizontal="centerContinuous" vertical="center" wrapText="1"/>
    </xf>
    <xf numFmtId="0" fontId="46" fillId="4" borderId="34" xfId="0" applyFont="1" applyFill="1" applyBorder="1" applyAlignment="1">
      <alignment horizontal="centerContinuous" vertical="center" wrapText="1"/>
    </xf>
    <xf numFmtId="0" fontId="46" fillId="4" borderId="35" xfId="0" applyFont="1" applyFill="1" applyBorder="1" applyAlignment="1">
      <alignment horizontal="centerContinuous" vertical="center" wrapText="1"/>
    </xf>
    <xf numFmtId="0" fontId="50" fillId="8" borderId="43" xfId="0" applyFont="1" applyFill="1" applyBorder="1" applyAlignment="1">
      <alignment horizontal="center" vertical="center" wrapText="1"/>
    </xf>
    <xf numFmtId="0" fontId="50" fillId="8" borderId="44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167" fontId="52" fillId="9" borderId="0" xfId="0" applyNumberFormat="1" applyFont="1" applyFill="1" applyAlignment="1" applyProtection="1">
      <alignment vertical="center"/>
      <protection locked="0"/>
    </xf>
    <xf numFmtId="167" fontId="53" fillId="9" borderId="0" xfId="0" applyNumberFormat="1" applyFont="1" applyFill="1" applyAlignment="1" applyProtection="1">
      <alignment vertical="center"/>
      <protection locked="0"/>
    </xf>
    <xf numFmtId="167" fontId="52" fillId="9" borderId="48" xfId="0" applyNumberFormat="1" applyFont="1" applyFill="1" applyBorder="1" applyAlignment="1" applyProtection="1">
      <alignment vertical="center"/>
      <protection locked="0"/>
    </xf>
    <xf numFmtId="167" fontId="52" fillId="9" borderId="49" xfId="0" applyNumberFormat="1" applyFont="1" applyFill="1" applyBorder="1" applyAlignment="1" applyProtection="1">
      <alignment vertical="center"/>
      <protection locked="0"/>
    </xf>
    <xf numFmtId="0" fontId="0" fillId="0" borderId="46" xfId="0" applyBorder="1"/>
    <xf numFmtId="167" fontId="53" fillId="9" borderId="47" xfId="0" applyNumberFormat="1" applyFont="1" applyFill="1" applyBorder="1" applyAlignment="1" applyProtection="1">
      <alignment vertical="center"/>
      <protection locked="0"/>
    </xf>
    <xf numFmtId="0" fontId="25" fillId="10" borderId="13" xfId="0" applyFont="1" applyFill="1" applyBorder="1" applyAlignment="1" applyProtection="1">
      <alignment horizontal="center" vertical="center"/>
      <protection locked="0"/>
    </xf>
    <xf numFmtId="0" fontId="1" fillId="0" borderId="0" xfId="0" quotePrefix="1" applyFont="1"/>
    <xf numFmtId="164" fontId="32" fillId="7" borderId="13" xfId="0" applyNumberFormat="1" applyFont="1" applyFill="1" applyBorder="1" applyAlignment="1" applyProtection="1">
      <alignment horizontal="center" vertical="center"/>
      <protection locked="0"/>
    </xf>
    <xf numFmtId="164" fontId="16" fillId="7" borderId="13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>
      <alignment horizontal="center"/>
    </xf>
    <xf numFmtId="164" fontId="54" fillId="0" borderId="0" xfId="0" applyNumberFormat="1" applyFont="1"/>
    <xf numFmtId="164" fontId="55" fillId="0" borderId="1" xfId="0" applyNumberFormat="1" applyFont="1" applyBorder="1"/>
    <xf numFmtId="164" fontId="38" fillId="0" borderId="0" xfId="0" applyNumberFormat="1" applyFont="1" applyAlignment="1">
      <alignment horizontal="left"/>
    </xf>
    <xf numFmtId="10" fontId="37" fillId="0" borderId="0" xfId="0" applyNumberFormat="1" applyFont="1" applyAlignment="1">
      <alignment horizontal="center" wrapText="1"/>
    </xf>
    <xf numFmtId="0" fontId="56" fillId="0" borderId="0" xfId="0" applyFont="1" applyAlignment="1">
      <alignment horizontal="left"/>
    </xf>
    <xf numFmtId="44" fontId="13" fillId="0" borderId="0" xfId="1" applyFont="1" applyBorder="1"/>
    <xf numFmtId="0" fontId="57" fillId="0" borderId="4" xfId="0" applyFont="1" applyBorder="1"/>
    <xf numFmtId="0" fontId="13" fillId="0" borderId="0" xfId="0" applyFont="1" applyAlignment="1">
      <alignment horizontal="right"/>
    </xf>
    <xf numFmtId="0" fontId="58" fillId="0" borderId="0" xfId="0" applyFont="1" applyAlignment="1">
      <alignment horizontal="left" vertical="center"/>
    </xf>
    <xf numFmtId="164" fontId="16" fillId="6" borderId="26" xfId="0" applyNumberFormat="1" applyFont="1" applyFill="1" applyBorder="1" applyAlignment="1" applyProtection="1">
      <alignment vertical="center"/>
      <protection locked="0"/>
    </xf>
    <xf numFmtId="0" fontId="61" fillId="0" borderId="0" xfId="0" applyFont="1" applyAlignment="1">
      <alignment horizontal="left" vertical="center" wrapText="1" indent="1"/>
    </xf>
    <xf numFmtId="0" fontId="54" fillId="0" borderId="0" xfId="0" applyFont="1"/>
    <xf numFmtId="0" fontId="51" fillId="11" borderId="45" xfId="0" applyFont="1" applyFill="1" applyBorder="1" applyAlignment="1">
      <alignment horizontal="centerContinuous" vertical="center" wrapText="1"/>
    </xf>
    <xf numFmtId="0" fontId="51" fillId="11" borderId="43" xfId="0" applyFont="1" applyFill="1" applyBorder="1" applyAlignment="1">
      <alignment horizontal="centerContinuous" vertical="center" wrapText="1"/>
    </xf>
    <xf numFmtId="0" fontId="51" fillId="11" borderId="44" xfId="0" applyFont="1" applyFill="1" applyBorder="1" applyAlignment="1">
      <alignment horizontal="centerContinuous" vertical="center" wrapText="1"/>
    </xf>
    <xf numFmtId="164" fontId="60" fillId="6" borderId="39" xfId="3" applyNumberFormat="1" applyFont="1" applyFill="1" applyBorder="1" applyAlignment="1" applyProtection="1">
      <alignment horizontal="center" vertical="center"/>
      <protection locked="0"/>
    </xf>
    <xf numFmtId="164" fontId="60" fillId="6" borderId="0" xfId="3" applyNumberFormat="1" applyFont="1" applyFill="1" applyBorder="1" applyAlignment="1" applyProtection="1">
      <alignment horizontal="center" vertical="center"/>
      <protection locked="0"/>
    </xf>
    <xf numFmtId="164" fontId="7" fillId="6" borderId="31" xfId="0" applyNumberFormat="1" applyFont="1" applyFill="1" applyBorder="1" applyAlignment="1" applyProtection="1">
      <alignment horizontal="center" vertical="center"/>
      <protection locked="0"/>
    </xf>
    <xf numFmtId="164" fontId="7" fillId="6" borderId="32" xfId="0" applyNumberFormat="1" applyFont="1" applyFill="1" applyBorder="1" applyAlignment="1" applyProtection="1">
      <alignment horizontal="center" vertical="center"/>
      <protection locked="0"/>
    </xf>
    <xf numFmtId="166" fontId="16" fillId="0" borderId="31" xfId="0" applyNumberFormat="1" applyFont="1" applyBorder="1" applyAlignment="1">
      <alignment horizontal="right"/>
    </xf>
    <xf numFmtId="166" fontId="16" fillId="0" borderId="32" xfId="0" applyNumberFormat="1" applyFont="1" applyBorder="1" applyAlignment="1">
      <alignment horizontal="right"/>
    </xf>
    <xf numFmtId="164" fontId="16" fillId="0" borderId="31" xfId="0" applyNumberFormat="1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7" fontId="63" fillId="6" borderId="31" xfId="0" applyNumberFormat="1" applyFont="1" applyFill="1" applyBorder="1" applyAlignment="1" applyProtection="1">
      <alignment horizontal="center" vertical="center" wrapText="1"/>
      <protection locked="0"/>
    </xf>
    <xf numFmtId="17" fontId="63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7" fillId="0" borderId="4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164" fontId="19" fillId="0" borderId="0" xfId="0" applyNumberFormat="1" applyFont="1" applyAlignment="1">
      <alignment horizontal="right"/>
    </xf>
    <xf numFmtId="164" fontId="19" fillId="0" borderId="1" xfId="0" applyNumberFormat="1" applyFont="1" applyBorder="1" applyAlignment="1">
      <alignment horizontal="right"/>
    </xf>
    <xf numFmtId="0" fontId="47" fillId="5" borderId="29" xfId="0" applyFont="1" applyFill="1" applyBorder="1" applyAlignment="1">
      <alignment horizontal="center" vertical="center"/>
    </xf>
    <xf numFmtId="0" fontId="47" fillId="5" borderId="30" xfId="0" applyFont="1" applyFill="1" applyBorder="1" applyAlignment="1">
      <alignment horizontal="center" vertical="center"/>
    </xf>
    <xf numFmtId="0" fontId="47" fillId="5" borderId="40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 vertical="center"/>
    </xf>
    <xf numFmtId="10" fontId="4" fillId="6" borderId="41" xfId="0" applyNumberFormat="1" applyFont="1" applyFill="1" applyBorder="1" applyAlignment="1" applyProtection="1">
      <alignment horizontal="center" vertical="center"/>
      <protection locked="0"/>
    </xf>
    <xf numFmtId="10" fontId="4" fillId="6" borderId="42" xfId="0" applyNumberFormat="1" applyFont="1" applyFill="1" applyBorder="1" applyAlignment="1" applyProtection="1">
      <alignment horizontal="center" vertical="center"/>
      <protection locked="0"/>
    </xf>
    <xf numFmtId="0" fontId="47" fillId="5" borderId="29" xfId="0" applyFont="1" applyFill="1" applyBorder="1" applyAlignment="1">
      <alignment horizontal="right" vertical="center"/>
    </xf>
    <xf numFmtId="0" fontId="47" fillId="5" borderId="30" xfId="0" applyFont="1" applyFill="1" applyBorder="1" applyAlignment="1">
      <alignment horizontal="right" vertical="center"/>
    </xf>
    <xf numFmtId="0" fontId="47" fillId="5" borderId="4" xfId="0" applyFont="1" applyFill="1" applyBorder="1" applyAlignment="1">
      <alignment horizontal="right" vertical="center"/>
    </xf>
    <xf numFmtId="0" fontId="47" fillId="5" borderId="0" xfId="0" applyFont="1" applyFill="1" applyAlignment="1">
      <alignment horizontal="right" vertical="center"/>
    </xf>
    <xf numFmtId="0" fontId="47" fillId="5" borderId="4" xfId="0" applyFont="1" applyFill="1" applyBorder="1" applyAlignment="1">
      <alignment horizontal="center" vertical="center"/>
    </xf>
    <xf numFmtId="0" fontId="47" fillId="5" borderId="0" xfId="0" applyFont="1" applyFill="1" applyAlignment="1">
      <alignment horizontal="center" vertical="center"/>
    </xf>
    <xf numFmtId="164" fontId="13" fillId="6" borderId="18" xfId="0" applyNumberFormat="1" applyFont="1" applyFill="1" applyBorder="1" applyAlignment="1" applyProtection="1">
      <alignment horizontal="center" vertical="center"/>
      <protection locked="0"/>
    </xf>
    <xf numFmtId="164" fontId="13" fillId="6" borderId="19" xfId="0" applyNumberFormat="1" applyFont="1" applyFill="1" applyBorder="1" applyAlignment="1" applyProtection="1">
      <alignment horizontal="center" vertical="center"/>
      <protection locked="0"/>
    </xf>
    <xf numFmtId="164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17" fontId="62" fillId="6" borderId="38" xfId="0" applyNumberFormat="1" applyFont="1" applyFill="1" applyBorder="1" applyAlignment="1" applyProtection="1">
      <alignment horizontal="center" vertical="center" wrapText="1"/>
      <protection locked="0"/>
    </xf>
    <xf numFmtId="17" fontId="62" fillId="6" borderId="27" xfId="0" applyNumberFormat="1" applyFont="1" applyFill="1" applyBorder="1" applyAlignment="1" applyProtection="1">
      <alignment horizontal="center" vertical="center" wrapText="1"/>
      <protection locked="0"/>
    </xf>
    <xf numFmtId="17" fontId="62" fillId="6" borderId="37" xfId="0" applyNumberFormat="1" applyFont="1" applyFill="1" applyBorder="1" applyAlignment="1" applyProtection="1">
      <alignment horizontal="center" vertical="center" wrapText="1"/>
      <protection locked="0"/>
    </xf>
    <xf numFmtId="17" fontId="62" fillId="6" borderId="51" xfId="0" applyNumberFormat="1" applyFont="1" applyFill="1" applyBorder="1" applyAlignment="1" applyProtection="1">
      <alignment horizontal="center" vertical="center" wrapText="1"/>
      <protection locked="0"/>
    </xf>
    <xf numFmtId="0" fontId="47" fillId="5" borderId="3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</cellXfs>
  <cellStyles count="4">
    <cellStyle name="Hiperligação" xfId="3" builtinId="8"/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2" name="Imagem 1" descr="https://www.pwc.pt/libs/cq/ui/resources/0.gif">
          <a:extLst>
            <a:ext uri="{FF2B5EF4-FFF2-40B4-BE49-F238E27FC236}">
              <a16:creationId xmlns:a16="http://schemas.microsoft.com/office/drawing/2014/main" id="{2568AAE9-6618-4511-B076-3A8A15C5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82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95251</xdr:colOff>
      <xdr:row>67</xdr:row>
      <xdr:rowOff>64950</xdr:rowOff>
    </xdr:from>
    <xdr:to>
      <xdr:col>14</xdr:col>
      <xdr:colOff>98246</xdr:colOff>
      <xdr:row>74</xdr:row>
      <xdr:rowOff>127000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08472B-410F-A8E2-239B-5CB69B3A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3351" y="6453050"/>
          <a:ext cx="1857195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g-social.pt/documents/10152/15974914/1009%20Trabalhador%20independente%20-%20novo%20regime/87b6e00c-523d-4718-8a88-942ea804c1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816A-58BA-4E61-AA00-887D81F359F2}">
  <sheetPr codeName="Folha1"/>
  <dimension ref="A1:T81"/>
  <sheetViews>
    <sheetView showGridLines="0" showRowColHeaders="0" tabSelected="1" zoomScaleNormal="100" workbookViewId="0">
      <pane ySplit="7" topLeftCell="A8" activePane="bottomLeft" state="frozen"/>
      <selection pane="bottomLeft" activeCell="F7" sqref="F7"/>
    </sheetView>
  </sheetViews>
  <sheetFormatPr defaultColWidth="8.90625" defaultRowHeight="14.5" zeroHeight="1" x14ac:dyDescent="0.35"/>
  <cols>
    <col min="1" max="1" width="5.6328125" customWidth="1"/>
    <col min="2" max="2" width="13.90625" customWidth="1"/>
    <col min="3" max="3" width="8.453125" customWidth="1"/>
    <col min="4" max="4" width="15.08984375" customWidth="1"/>
    <col min="5" max="5" width="16.90625" customWidth="1"/>
    <col min="6" max="6" width="8.81640625" customWidth="1"/>
    <col min="7" max="7" width="6.08984375" customWidth="1"/>
    <col min="8" max="8" width="14.54296875" customWidth="1"/>
    <col min="9" max="9" width="9" customWidth="1"/>
    <col min="10" max="11" width="13.6328125" customWidth="1"/>
    <col min="12" max="12" width="4.08984375" customWidth="1"/>
    <col min="13" max="13" width="11.6328125" customWidth="1"/>
    <col min="14" max="14" width="14.90625" customWidth="1"/>
    <col min="15" max="15" width="3.6328125" customWidth="1"/>
    <col min="16" max="16" width="11.81640625" customWidth="1"/>
    <col min="17" max="17" width="9.6328125" customWidth="1"/>
    <col min="18" max="18" width="6.81640625" customWidth="1"/>
    <col min="19" max="19" width="8" customWidth="1"/>
    <col min="20" max="20" width="17" customWidth="1"/>
  </cols>
  <sheetData>
    <row r="1" spans="2:20" x14ac:dyDescent="0.35"/>
    <row r="2" spans="2:20" ht="15" thickBot="1" x14ac:dyDescent="0.4">
      <c r="N2" s="2"/>
    </row>
    <row r="3" spans="2:20" ht="25" customHeight="1" thickTop="1" thickBot="1" x14ac:dyDescent="0.4">
      <c r="B3" s="111" t="s">
        <v>26</v>
      </c>
      <c r="C3" s="112"/>
      <c r="D3" s="112"/>
      <c r="E3" s="112"/>
      <c r="F3" s="112"/>
      <c r="G3" s="112"/>
      <c r="H3" s="112"/>
      <c r="I3" s="112"/>
      <c r="J3" s="112"/>
      <c r="K3" s="116">
        <f ca="1">YEAR(NOW())</f>
        <v>2023</v>
      </c>
      <c r="L3" s="117"/>
      <c r="N3" s="2"/>
    </row>
    <row r="4" spans="2:20" ht="20" customHeight="1" thickTop="1" x14ac:dyDescent="0.35">
      <c r="B4" s="142" t="s">
        <v>27</v>
      </c>
      <c r="C4" s="143"/>
      <c r="D4" s="143"/>
      <c r="E4" s="143"/>
      <c r="F4" s="143"/>
      <c r="G4" s="143"/>
      <c r="H4" s="143"/>
      <c r="I4" s="143"/>
      <c r="J4" s="143"/>
      <c r="K4" s="143"/>
      <c r="L4" s="144"/>
      <c r="M4" s="88"/>
      <c r="N4" s="89"/>
      <c r="O4" s="89"/>
      <c r="P4" s="89"/>
      <c r="Q4" s="89"/>
      <c r="R4" s="89"/>
      <c r="S4" s="89"/>
      <c r="T4" s="89"/>
    </row>
    <row r="5" spans="2:20" ht="20" customHeight="1" thickBot="1" x14ac:dyDescent="0.4">
      <c r="B5" s="113" t="s">
        <v>17</v>
      </c>
      <c r="C5" s="114"/>
      <c r="D5" s="114"/>
      <c r="E5" s="114"/>
      <c r="F5" s="114"/>
      <c r="G5" s="114"/>
      <c r="H5" s="114"/>
      <c r="I5" s="114"/>
      <c r="J5" s="114"/>
      <c r="K5" s="114"/>
      <c r="L5" s="115"/>
      <c r="M5" s="75"/>
      <c r="N5" s="90"/>
      <c r="O5" s="90"/>
      <c r="P5" s="90"/>
      <c r="Q5" s="90"/>
      <c r="R5" s="90"/>
      <c r="S5" s="90"/>
      <c r="T5" s="90"/>
    </row>
    <row r="6" spans="2:20" ht="10" customHeight="1" thickTop="1" x14ac:dyDescent="0.35"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9"/>
      <c r="M6" s="75"/>
      <c r="N6" s="90"/>
      <c r="O6" s="90"/>
      <c r="P6" s="90"/>
      <c r="Q6" s="90"/>
      <c r="R6" s="90"/>
      <c r="S6" s="90"/>
      <c r="T6" s="90"/>
    </row>
    <row r="7" spans="2:20" ht="20" customHeight="1" x14ac:dyDescent="0.35">
      <c r="B7" s="170" t="s">
        <v>21</v>
      </c>
      <c r="C7" s="171"/>
      <c r="D7" s="171"/>
      <c r="E7" s="172"/>
      <c r="F7" s="128"/>
      <c r="G7" s="145" t="s">
        <v>32</v>
      </c>
      <c r="H7" s="146"/>
      <c r="I7" s="146"/>
      <c r="J7" s="146"/>
      <c r="K7" s="146"/>
      <c r="L7" s="139"/>
      <c r="M7" s="7"/>
      <c r="N7" s="1"/>
      <c r="O7" s="1"/>
      <c r="P7" s="1"/>
      <c r="Q7" s="1"/>
      <c r="R7" s="1"/>
      <c r="S7" s="1"/>
    </row>
    <row r="8" spans="2:20" ht="21.5" customHeight="1" x14ac:dyDescent="0.35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7"/>
      <c r="N8" s="102"/>
      <c r="O8" s="1"/>
      <c r="P8" s="1"/>
      <c r="Q8" s="1"/>
      <c r="R8" s="1"/>
      <c r="S8" s="1"/>
    </row>
    <row r="9" spans="2:20" ht="18" customHeight="1" x14ac:dyDescent="0.35">
      <c r="B9" s="58"/>
      <c r="J9" s="175" t="s">
        <v>23</v>
      </c>
      <c r="K9" s="176"/>
      <c r="L9" s="1"/>
      <c r="M9" s="7"/>
      <c r="N9" s="102"/>
      <c r="O9" s="1"/>
      <c r="P9" s="1"/>
      <c r="Q9" s="1"/>
      <c r="R9" s="1"/>
      <c r="S9" s="1"/>
    </row>
    <row r="10" spans="2:20" ht="15" customHeight="1" x14ac:dyDescent="0.35">
      <c r="B10" s="196" t="s">
        <v>15</v>
      </c>
      <c r="C10" s="197"/>
      <c r="D10" s="197"/>
      <c r="E10" s="197"/>
      <c r="F10" s="197"/>
      <c r="G10" s="197"/>
      <c r="H10" s="197"/>
      <c r="I10" s="110">
        <f>G18</f>
        <v>480.43</v>
      </c>
      <c r="J10" s="147" t="s">
        <v>10</v>
      </c>
      <c r="K10" s="148"/>
      <c r="L10" s="1"/>
      <c r="M10" s="7"/>
      <c r="N10" s="1"/>
      <c r="O10" s="1"/>
      <c r="P10" s="1"/>
      <c r="Q10" s="1"/>
      <c r="R10" s="1"/>
      <c r="S10" s="1"/>
    </row>
    <row r="11" spans="2:20" ht="15" customHeight="1" x14ac:dyDescent="0.35">
      <c r="B11" s="105"/>
      <c r="C11" s="106"/>
      <c r="D11" s="106"/>
      <c r="E11" s="106"/>
      <c r="F11" s="106"/>
      <c r="G11" s="106"/>
      <c r="H11" s="106"/>
      <c r="I11" s="107"/>
      <c r="J11" s="108"/>
      <c r="K11" s="108"/>
      <c r="L11" s="1"/>
      <c r="M11" s="7"/>
      <c r="N11" s="1"/>
      <c r="O11" s="1"/>
      <c r="P11" s="1"/>
      <c r="Q11" s="1"/>
      <c r="R11" s="1"/>
      <c r="S11" s="1"/>
    </row>
    <row r="12" spans="2:20" ht="18" customHeight="1" x14ac:dyDescent="0.35">
      <c r="B12" s="185" t="s">
        <v>30</v>
      </c>
      <c r="C12" s="186"/>
      <c r="D12" s="186"/>
      <c r="E12" s="101" t="s">
        <v>13</v>
      </c>
      <c r="F12" s="1"/>
      <c r="G12" s="1"/>
      <c r="H12" s="1"/>
      <c r="I12" s="1"/>
      <c r="J12" s="1"/>
      <c r="K12" s="1"/>
      <c r="L12" s="1"/>
      <c r="M12" s="7"/>
      <c r="N12" s="102"/>
      <c r="O12" s="1"/>
      <c r="P12" s="1"/>
      <c r="Q12" s="1"/>
      <c r="R12" s="1"/>
      <c r="S12" s="1"/>
    </row>
    <row r="13" spans="2:20" ht="18" customHeight="1" x14ac:dyDescent="0.35">
      <c r="B13" s="187" t="s">
        <v>14</v>
      </c>
      <c r="C13" s="188"/>
      <c r="D13" s="189"/>
      <c r="E13" s="80">
        <f>P34</f>
        <v>0.214</v>
      </c>
      <c r="J13" s="177" t="s">
        <v>29</v>
      </c>
      <c r="K13" s="178"/>
      <c r="L13" s="1"/>
      <c r="M13" s="7"/>
      <c r="N13" s="1"/>
      <c r="O13" s="1"/>
      <c r="P13" s="1"/>
      <c r="Q13" s="1"/>
      <c r="R13" s="1"/>
      <c r="S13" s="1"/>
    </row>
    <row r="14" spans="2:20" ht="15" customHeight="1" x14ac:dyDescent="0.35">
      <c r="B14" s="58"/>
      <c r="F14" s="190" t="s">
        <v>22</v>
      </c>
      <c r="G14" s="190"/>
      <c r="H14" s="190"/>
      <c r="I14" s="190"/>
      <c r="J14" s="179">
        <v>0</v>
      </c>
      <c r="K14" s="180"/>
      <c r="L14" s="1"/>
      <c r="M14" s="7"/>
      <c r="N14" s="1"/>
      <c r="O14" s="1"/>
      <c r="P14" s="1"/>
      <c r="Q14" s="1"/>
      <c r="R14" s="1"/>
      <c r="S14" s="1"/>
    </row>
    <row r="15" spans="2:20" ht="15" customHeight="1" x14ac:dyDescent="0.35">
      <c r="B15" s="58"/>
      <c r="F15" s="104"/>
      <c r="G15" s="104"/>
      <c r="H15" s="104"/>
      <c r="I15" s="104"/>
      <c r="J15" s="109"/>
      <c r="K15" s="109"/>
      <c r="L15" s="1"/>
      <c r="M15" s="7"/>
      <c r="N15" s="1"/>
      <c r="O15" s="1"/>
      <c r="P15" s="1"/>
      <c r="Q15" s="1"/>
      <c r="R15" s="1"/>
      <c r="S15" s="1"/>
    </row>
    <row r="16" spans="2:20" ht="15" customHeight="1" x14ac:dyDescent="0.35">
      <c r="B16" s="58"/>
      <c r="F16" s="1"/>
      <c r="G16" s="1"/>
      <c r="H16" s="1"/>
      <c r="I16" s="1"/>
      <c r="J16" s="1"/>
      <c r="K16" s="1"/>
      <c r="L16" s="1"/>
      <c r="M16" s="7"/>
      <c r="N16" s="1"/>
      <c r="O16" s="1"/>
      <c r="P16" s="1"/>
      <c r="Q16" s="1"/>
      <c r="R16" s="1"/>
      <c r="S16" s="1"/>
    </row>
    <row r="17" spans="1:20" ht="18" customHeight="1" x14ac:dyDescent="0.35">
      <c r="B17" s="181" t="s">
        <v>31</v>
      </c>
      <c r="C17" s="182"/>
      <c r="D17" s="182"/>
      <c r="E17" s="182"/>
      <c r="F17" s="1"/>
      <c r="G17" s="183" t="s">
        <v>33</v>
      </c>
      <c r="H17" s="184"/>
      <c r="I17" s="125">
        <v>2023</v>
      </c>
      <c r="J17" s="195" t="s">
        <v>24</v>
      </c>
      <c r="K17" s="176"/>
      <c r="L17" s="1"/>
      <c r="M17" s="7"/>
      <c r="P17" s="1"/>
      <c r="Q17" s="1"/>
      <c r="R17" s="1"/>
      <c r="S17" s="1"/>
    </row>
    <row r="18" spans="1:20" ht="15" customHeight="1" x14ac:dyDescent="0.35">
      <c r="A18" s="73"/>
      <c r="B18" s="92" t="s">
        <v>18</v>
      </c>
      <c r="C18" s="93"/>
      <c r="D18" s="93"/>
      <c r="E18" s="127">
        <v>0</v>
      </c>
      <c r="F18" s="81">
        <v>0.7</v>
      </c>
      <c r="G18" s="149">
        <f>IF(O55=1,419.22,IF(O55=2,421.32,IF(O55=3,428.9,IF(O55=4,435.76,IF(O55=5,438.81,IF(O55=6,438.81,IF(O55=8,480.43)))))))</f>
        <v>480.43</v>
      </c>
      <c r="H18" s="150"/>
      <c r="I18" s="138" t="s">
        <v>25</v>
      </c>
      <c r="J18" s="156" t="s">
        <v>46</v>
      </c>
      <c r="K18" s="157"/>
      <c r="L18" s="1"/>
      <c r="M18" s="7"/>
      <c r="N18" s="57"/>
      <c r="O18" s="1"/>
      <c r="Q18" s="1"/>
      <c r="R18" s="1"/>
      <c r="S18" s="1"/>
    </row>
    <row r="19" spans="1:20" ht="15" customHeight="1" x14ac:dyDescent="0.35">
      <c r="A19" s="73"/>
      <c r="B19" s="92" t="s">
        <v>19</v>
      </c>
      <c r="C19" s="93"/>
      <c r="D19" s="93"/>
      <c r="E19" s="127">
        <v>0</v>
      </c>
      <c r="F19" s="81">
        <v>0.2</v>
      </c>
      <c r="G19" s="151">
        <f>IF(G18=0,0,G18*4)</f>
        <v>1921.72</v>
      </c>
      <c r="H19" s="152"/>
      <c r="J19" s="191" t="str">
        <f>IF(J18="1.º Trimestre","Entregar em abril referente a: JAN/FEV/MAR",IF(J18="2.º Trimestre","Entregar em julho referente a: ABR/MAI/JUN",IF(J18="3.º Trimestre","Entregar em outubro referente a: JUL/AGO/SET",IF(J18="4.º Trimestre","Entregar em janeiro referente a: OUT/NOV/DEZ",))))</f>
        <v>Entregar em abril referente a: JAN/FEV/MAR</v>
      </c>
      <c r="K19" s="192"/>
      <c r="L19" s="1"/>
      <c r="M19" s="7"/>
      <c r="N19" s="57"/>
      <c r="O19" s="1"/>
      <c r="Q19" s="1"/>
      <c r="R19" s="1"/>
      <c r="S19" s="1"/>
    </row>
    <row r="20" spans="1:20" ht="15" customHeight="1" x14ac:dyDescent="0.35">
      <c r="A20" s="73"/>
      <c r="B20" s="92" t="s">
        <v>20</v>
      </c>
      <c r="C20" s="93"/>
      <c r="D20" s="93"/>
      <c r="E20" s="127">
        <v>0</v>
      </c>
      <c r="F20" s="81">
        <v>0.2</v>
      </c>
      <c r="G20" s="151">
        <f>IF(G18=0,0,G18*12)</f>
        <v>5765.16</v>
      </c>
      <c r="H20" s="152"/>
      <c r="J20" s="193"/>
      <c r="K20" s="194"/>
      <c r="L20" s="1"/>
      <c r="M20" s="7"/>
      <c r="N20" s="57"/>
      <c r="O20" s="1"/>
      <c r="Q20" s="1"/>
      <c r="R20" s="1"/>
      <c r="S20" s="1"/>
    </row>
    <row r="21" spans="1:20" ht="15" customHeight="1" x14ac:dyDescent="0.35">
      <c r="A21" s="73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7"/>
      <c r="N21" s="57"/>
      <c r="O21" s="1"/>
      <c r="Q21" s="1"/>
      <c r="R21" s="1"/>
      <c r="S21" s="1"/>
    </row>
    <row r="22" spans="1:20" ht="15" customHeight="1" x14ac:dyDescent="0.35"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3"/>
      <c r="M22" s="7"/>
      <c r="N22" s="1"/>
      <c r="O22" s="1"/>
      <c r="P22" s="1"/>
      <c r="Q22" s="1"/>
      <c r="R22" s="1"/>
      <c r="S22" s="1"/>
    </row>
    <row r="23" spans="1:20" ht="15" customHeight="1" x14ac:dyDescent="0.35">
      <c r="B23" s="76" t="str">
        <f>TEXT(K46,)</f>
        <v/>
      </c>
      <c r="C23" s="9"/>
      <c r="D23" s="9"/>
      <c r="E23" s="77" t="str">
        <f>P46</f>
        <v/>
      </c>
      <c r="F23" s="164">
        <f>IF(F25&gt;=1,0,SUM(I49+J49))</f>
        <v>20</v>
      </c>
      <c r="G23" s="164"/>
      <c r="H23" s="82" t="str">
        <f>TEXT(Q53,)</f>
        <v>← Contribuição Mensal:</v>
      </c>
      <c r="J23" s="137" t="str">
        <f>IF(F23&gt;=1,"Trimestre →","")</f>
        <v>Trimestre →</v>
      </c>
      <c r="K23" s="135">
        <f>IF(F23&gt;=1,F23*3,)</f>
        <v>60</v>
      </c>
      <c r="M23" s="58"/>
      <c r="O23" s="1"/>
      <c r="P23" s="1"/>
      <c r="Q23" s="1"/>
      <c r="R23" s="1"/>
      <c r="S23" s="1"/>
    </row>
    <row r="24" spans="1:20" ht="15" customHeight="1" x14ac:dyDescent="0.35">
      <c r="B24" s="76"/>
      <c r="C24" s="9"/>
      <c r="D24" s="9"/>
      <c r="E24" s="77"/>
      <c r="F24" s="129"/>
      <c r="G24" s="129"/>
      <c r="H24" s="134" t="str">
        <f>TEXT(Q54,)</f>
        <v/>
      </c>
      <c r="J24" s="1"/>
      <c r="M24" s="58"/>
      <c r="O24" s="1"/>
      <c r="P24" s="1"/>
      <c r="Q24" s="1"/>
      <c r="R24" s="1"/>
      <c r="S24" s="1"/>
    </row>
    <row r="25" spans="1:20" ht="15" customHeight="1" x14ac:dyDescent="0.35">
      <c r="B25" s="76" t="str">
        <f>TEXT(K47,)</f>
        <v/>
      </c>
      <c r="C25" s="9"/>
      <c r="D25" s="83"/>
      <c r="E25" s="78" t="str">
        <f>P47</f>
        <v/>
      </c>
      <c r="F25" s="164">
        <f>Q48</f>
        <v>0</v>
      </c>
      <c r="G25" s="164"/>
      <c r="H25" s="82" t="str">
        <f>TEXT(Q55,)</f>
        <v/>
      </c>
      <c r="I25" s="1"/>
      <c r="J25" s="137" t="str">
        <f>IF(F25&gt;=1,"Trimestre →","")</f>
        <v/>
      </c>
      <c r="K25" s="135">
        <f>IF(F25&gt;=1,F25*3,)</f>
        <v>0</v>
      </c>
      <c r="M25" s="136"/>
      <c r="N25" s="1"/>
      <c r="O25" s="1"/>
      <c r="P25" s="1"/>
      <c r="Q25" s="1"/>
      <c r="R25" s="1"/>
      <c r="S25" s="1"/>
    </row>
    <row r="26" spans="1:20" ht="15" customHeight="1" x14ac:dyDescent="0.35">
      <c r="B26" s="76"/>
      <c r="C26" s="9"/>
      <c r="D26" s="83"/>
      <c r="E26" s="78"/>
      <c r="F26" s="129"/>
      <c r="G26" s="129"/>
      <c r="H26" s="134" t="str">
        <f>TEXT(Q56,)</f>
        <v/>
      </c>
      <c r="I26" s="1"/>
      <c r="J26" s="1"/>
      <c r="K26" s="1"/>
      <c r="M26" s="58"/>
      <c r="N26" s="1"/>
      <c r="O26" s="1"/>
      <c r="P26" s="1"/>
      <c r="Q26" s="1"/>
      <c r="R26" s="1"/>
      <c r="S26" s="1"/>
    </row>
    <row r="27" spans="1:20" ht="15" customHeight="1" x14ac:dyDescent="0.35">
      <c r="B27" s="7"/>
      <c r="C27" s="1"/>
      <c r="D27" s="1"/>
      <c r="E27" s="1"/>
      <c r="I27" s="84"/>
      <c r="J27" s="84"/>
      <c r="K27" s="1"/>
      <c r="L27" s="1"/>
      <c r="M27" s="7"/>
      <c r="N27" s="140"/>
      <c r="O27" s="1"/>
      <c r="P27" s="1"/>
      <c r="Q27" s="1"/>
      <c r="R27" s="1"/>
      <c r="S27" s="1"/>
    </row>
    <row r="28" spans="1:20" ht="15" customHeight="1" x14ac:dyDescent="0.35">
      <c r="B28" s="165" t="str">
        <f>TEXT(Q57,)</f>
        <v xml:space="preserve">Base de incidência contributiva mensal </v>
      </c>
      <c r="C28" s="166"/>
      <c r="D28" s="166"/>
      <c r="E28" s="166"/>
      <c r="F28" s="133" t="str">
        <f>S58</f>
        <v/>
      </c>
      <c r="G28" s="79" t="str">
        <f>TEXT(K48,)</f>
        <v>BIC =</v>
      </c>
      <c r="H28" s="132">
        <f>N48+N49</f>
        <v>93.45794392523365</v>
      </c>
      <c r="I28" s="84"/>
      <c r="J28" s="84"/>
      <c r="K28" s="1"/>
      <c r="L28" s="1"/>
      <c r="M28" s="7"/>
      <c r="N28" s="140"/>
      <c r="O28" s="1"/>
      <c r="P28" s="1"/>
      <c r="Q28" s="1"/>
      <c r="R28" s="1"/>
      <c r="S28" s="1"/>
    </row>
    <row r="29" spans="1:20" ht="15" customHeight="1" thickBot="1" x14ac:dyDescent="0.4">
      <c r="B29" s="85"/>
      <c r="C29" s="86"/>
      <c r="D29" s="86"/>
      <c r="E29" s="86"/>
      <c r="F29" s="86"/>
      <c r="G29" s="86"/>
      <c r="H29" s="86"/>
      <c r="I29" s="87"/>
      <c r="J29" s="6"/>
      <c r="K29" s="6"/>
      <c r="L29" s="6"/>
      <c r="M29" s="58"/>
      <c r="N29" s="140"/>
      <c r="Q29" s="91"/>
      <c r="R29" s="91"/>
      <c r="S29" s="91"/>
      <c r="T29" s="91"/>
    </row>
    <row r="30" spans="1:20" ht="15" thickTop="1" x14ac:dyDescent="0.35">
      <c r="B30" s="103" t="str">
        <f>TEXT(K40,)</f>
        <v>Despacho n.º 599/2019:  O valor mínimo de base de incidência a que se refere o artigo 62.º-A do Decreto Regulamentar n.º 1-A/2011, de 3 de janeiro, o valor mensal a pagar é de 20,00€.</v>
      </c>
      <c r="C30" s="1"/>
      <c r="N30" s="140"/>
    </row>
    <row r="31" spans="1:20" ht="15" customHeight="1" x14ac:dyDescent="0.35">
      <c r="B31" s="1"/>
      <c r="C31" s="1"/>
      <c r="D31" s="1"/>
      <c r="E31" s="1"/>
      <c r="F31" s="1"/>
      <c r="G31" s="1"/>
      <c r="H31" s="1"/>
      <c r="I31" s="1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hidden="1" customHeight="1" x14ac:dyDescent="0.35">
      <c r="B32" s="1"/>
      <c r="C32" s="1"/>
      <c r="D32" s="1"/>
      <c r="E32" s="1"/>
      <c r="F32" s="1"/>
      <c r="G32" s="1"/>
      <c r="H32" s="1"/>
      <c r="I32" s="1"/>
      <c r="J32" s="4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idden="1" x14ac:dyDescent="0.35">
      <c r="B33" s="45">
        <v>0</v>
      </c>
      <c r="C33" s="1">
        <v>1</v>
      </c>
      <c r="D33" s="4">
        <v>0</v>
      </c>
      <c r="E33" s="4">
        <v>0</v>
      </c>
      <c r="F33" s="4"/>
      <c r="G33" s="4"/>
      <c r="H33" s="1"/>
      <c r="I33" s="1"/>
      <c r="J33" s="4"/>
      <c r="K33" s="1"/>
      <c r="L33" s="1"/>
      <c r="M33" s="1"/>
      <c r="N33" s="1"/>
      <c r="O33" s="1"/>
      <c r="P33" s="1"/>
      <c r="Q33" s="1"/>
      <c r="R33" s="4"/>
      <c r="S33" s="95">
        <f>IF(I49=20,I49/P34)</f>
        <v>93.45794392523365</v>
      </c>
      <c r="T33" s="59">
        <f>IF(F23=0,0,B48/3)+S33</f>
        <v>93.45794392523365</v>
      </c>
    </row>
    <row r="34" spans="1:20" ht="15.5" hidden="1" x14ac:dyDescent="0.35">
      <c r="B34" s="42" t="str">
        <f>IF(Q39=1,"-5,00%",)</f>
        <v>-5,00%</v>
      </c>
      <c r="C34" s="1">
        <v>2</v>
      </c>
      <c r="D34" s="4">
        <f>IF(C44=2,(E18)*5%,)</f>
        <v>0</v>
      </c>
      <c r="E34" s="1"/>
      <c r="F34" s="1"/>
      <c r="G34" s="1"/>
      <c r="H34" s="4">
        <f>IF(C44=2,(E19+E20)*5%,)</f>
        <v>0</v>
      </c>
      <c r="I34" s="1"/>
      <c r="J34" s="1"/>
      <c r="K34" s="1"/>
      <c r="L34" s="1"/>
      <c r="M34" s="1" t="s">
        <v>14</v>
      </c>
      <c r="N34" s="1">
        <v>1</v>
      </c>
      <c r="O34" s="1"/>
      <c r="P34" s="8">
        <f>IF(N36=1,21.4%,IF(N36=2,25.2%))</f>
        <v>0.214</v>
      </c>
      <c r="Q34" s="1"/>
      <c r="R34" s="39"/>
      <c r="S34" s="95" t="b">
        <f>IF(I53=20,I53/P34)</f>
        <v>0</v>
      </c>
      <c r="T34" s="59">
        <f>IF(Q48=0,0,B51/3)+S34</f>
        <v>0</v>
      </c>
    </row>
    <row r="35" spans="1:20" ht="15.5" hidden="1" x14ac:dyDescent="0.35">
      <c r="B35" s="43" t="str">
        <f>IF(Q39=1,"+5,00%",)</f>
        <v>+5,00%</v>
      </c>
      <c r="C35" s="1">
        <v>3</v>
      </c>
      <c r="D35" s="1"/>
      <c r="E35" s="4">
        <f>IF(C44=3,(E18)*5%,)</f>
        <v>0</v>
      </c>
      <c r="F35" s="4"/>
      <c r="G35" s="4"/>
      <c r="H35" s="1"/>
      <c r="I35" s="4">
        <f>IF(C44=3,(E19+E20)*5%,)</f>
        <v>0</v>
      </c>
      <c r="J35" s="8"/>
      <c r="K35" s="1"/>
      <c r="L35" s="1"/>
      <c r="M35" s="1" t="s">
        <v>16</v>
      </c>
      <c r="N35" s="1">
        <v>2</v>
      </c>
      <c r="O35" s="1"/>
      <c r="P35" s="8"/>
      <c r="Q35" s="8">
        <f>IF(D44+E44+H44+I44=0,0%,IF(D34&gt;=1,"(Com variação - 5%)",IF(D36&gt;=1,"(Com variação - 10%)",IF(D38&gt;=1,"(Com variação - 15%;",IF(D40&gt;=1,"(Com variação - 20%)",IF(D42&gt;=1,"(Com variação - 25%)",IF(E35&gt;=1,"(Com variação + 5%;",IF(E37&gt;=1,"(Com variação + 10%)",IF(E39&gt;=1,"(Com variação + 15%)",IF(E41&gt;=1,"(Com variação + 20%)",IF(E43&gt;=1,"(Com variação + 25%)",IF(H34&gt;=1,"(Com variação - 5%)",IF(H36&gt;=1,"(Com variação - 10%)",IF(H38&gt;=1,"(Com variação - 15%)",IF(H40&gt;=1,"(Com variação - 20%)",IF(H42&gt;=1,"(Com variação - 25%)",IF(I35&gt;=1,"(Com variação + 5%)",IF(I37&gt;=1,"(Com variação + 10%)",IF(I39&gt;=1,"(Com variação + 15%)",IF(I41&gt;=1,"(Com variação + 20%)",IF(I43&gt;=1,"(Com variação + 25%)",)))))))))))))))))))))</f>
        <v>0</v>
      </c>
      <c r="R35" s="39"/>
      <c r="S35" s="1"/>
      <c r="T35" s="4">
        <f>IF(Q48=0,0,IF(Q48&gt;1,J14))</f>
        <v>0</v>
      </c>
    </row>
    <row r="36" spans="1:20" hidden="1" x14ac:dyDescent="0.35">
      <c r="B36" s="42" t="str">
        <f>IF(Q39=1,"-10,00%",)</f>
        <v>-10,00%</v>
      </c>
      <c r="C36" s="1">
        <v>4</v>
      </c>
      <c r="D36" s="4">
        <f>IF(C44=4,(E18)*10%,)</f>
        <v>0</v>
      </c>
      <c r="E36" s="4"/>
      <c r="F36" s="4"/>
      <c r="G36" s="4"/>
      <c r="H36" s="4">
        <f>IF(C44=4,(E19+E20)*10%,)</f>
        <v>0</v>
      </c>
      <c r="I36" s="4"/>
      <c r="J36" s="4"/>
      <c r="K36" s="1"/>
      <c r="L36" s="1"/>
      <c r="M36" s="1"/>
      <c r="N36" s="1">
        <f>VLOOKUP(B13,M34:N35,2,FALSE)</f>
        <v>1</v>
      </c>
      <c r="O36" s="1"/>
      <c r="P36" s="1"/>
      <c r="Q36" s="1"/>
      <c r="R36" s="8"/>
      <c r="S36" s="1"/>
      <c r="T36" s="60" t="str">
        <f>IF(T35=0,"",T35)</f>
        <v/>
      </c>
    </row>
    <row r="37" spans="1:20" hidden="1" x14ac:dyDescent="0.35">
      <c r="B37" s="43" t="str">
        <f>IF(Q39=1,"+10,00%",)</f>
        <v>+10,00%</v>
      </c>
      <c r="C37" s="1">
        <v>5</v>
      </c>
      <c r="D37" s="1"/>
      <c r="E37" s="4">
        <f>IF(C44=5,(E18)*10%,)</f>
        <v>0</v>
      </c>
      <c r="F37" s="4"/>
      <c r="G37" s="4"/>
      <c r="H37" s="1"/>
      <c r="I37" s="4">
        <f>IF(C44=5,(E19+E20)*10%,)</f>
        <v>0</v>
      </c>
      <c r="N37" s="4"/>
      <c r="O37" s="1"/>
      <c r="P37" s="1"/>
      <c r="Q37" s="40" t="str">
        <f>IF(Q35=0,"",Q35)</f>
        <v/>
      </c>
      <c r="R37" s="1"/>
      <c r="S37" s="3"/>
      <c r="T37" s="4"/>
    </row>
    <row r="38" spans="1:20" hidden="1" x14ac:dyDescent="0.35">
      <c r="B38" s="42" t="str">
        <f>IF(Q39=1,"-15,00%",)</f>
        <v>-15,00%</v>
      </c>
      <c r="C38" s="1">
        <v>6</v>
      </c>
      <c r="D38" s="4">
        <f>IF(C44=6,(E18)*15%,)</f>
        <v>0</v>
      </c>
      <c r="E38" s="4"/>
      <c r="F38" s="4"/>
      <c r="G38" s="4"/>
      <c r="H38" s="4">
        <f>IF(C44=6,(E19+E20)*15%,)</f>
        <v>0</v>
      </c>
      <c r="I38" s="4"/>
      <c r="J38" s="4"/>
      <c r="K38" s="1"/>
      <c r="L38" s="1"/>
      <c r="M38" s="4"/>
      <c r="N38" s="1"/>
      <c r="O38" s="1"/>
      <c r="P38" s="1"/>
      <c r="Q38" s="1"/>
      <c r="R38" s="1"/>
      <c r="S38" s="3"/>
      <c r="T38" s="4"/>
    </row>
    <row r="39" spans="1:20" hidden="1" x14ac:dyDescent="0.35">
      <c r="B39" s="43" t="str">
        <f>IF(Q39=1,"+15,00%",)</f>
        <v>+15,00%</v>
      </c>
      <c r="C39" s="1">
        <v>7</v>
      </c>
      <c r="D39" s="1"/>
      <c r="E39" s="4">
        <f>IF(C44=7,(E18)*15%,)</f>
        <v>0</v>
      </c>
      <c r="F39" s="4"/>
      <c r="G39" s="4"/>
      <c r="H39" s="1"/>
      <c r="I39" s="4">
        <f>IF(C44=7,(E19+E20)*15%,)</f>
        <v>0</v>
      </c>
      <c r="J39" s="4"/>
      <c r="K39" s="1">
        <f>IF(F23=0,0,IF(F23&lt;5,1,))</f>
        <v>0</v>
      </c>
      <c r="L39" s="1"/>
      <c r="M39" s="1"/>
      <c r="N39" s="1"/>
      <c r="O39" s="1"/>
      <c r="P39" s="1"/>
      <c r="Q39" s="1">
        <f>IF(0&lt;&gt;1,1,)</f>
        <v>1</v>
      </c>
      <c r="R39" s="1"/>
      <c r="S39" s="3"/>
      <c r="T39" s="1"/>
    </row>
    <row r="40" spans="1:20" ht="15.5" hidden="1" x14ac:dyDescent="0.35">
      <c r="B40" s="42" t="str">
        <f>IF(Q39=1,"-20,00%",)</f>
        <v>-20,00%</v>
      </c>
      <c r="C40" s="1">
        <v>8</v>
      </c>
      <c r="D40" s="4">
        <f>IF(C44=8,(E18)*20%,)</f>
        <v>0</v>
      </c>
      <c r="E40" s="4"/>
      <c r="F40" s="4"/>
      <c r="G40" s="4"/>
      <c r="H40" s="4">
        <f>IF(C44=8,(E19+E20)*20%,)</f>
        <v>0</v>
      </c>
      <c r="I40" s="4"/>
      <c r="J40" s="4"/>
      <c r="K40" s="12" t="str">
        <f>IF(F23&lt;=60,"Despacho n.º 599/2019:  O valor mínimo de base de incidência a que se refere o artigo 62.º-A do Decreto Regulamentar n.º 1-A/2011, de 3 de janeiro, o valor mensal a pagar é de 20,00€.",IF(K39=1,"Despacho n.º 599/2019: Para efeitos do disposto no artigo 59.º do Decreto Regulamentar n.º 1-A/2011, de 3 de janeiro, não há lugar a pagamento, o valor mínimo de contribuição mensal a considerar é de 5,00€.",))</f>
        <v>Despacho n.º 599/2019:  O valor mínimo de base de incidência a que se refere o artigo 62.º-A do Decreto Regulamentar n.º 1-A/2011, de 3 de janeiro, o valor mensal a pagar é de 20,00€.</v>
      </c>
      <c r="L40" s="1"/>
      <c r="M40" s="1"/>
      <c r="N40" s="1"/>
      <c r="O40" s="1"/>
      <c r="P40" s="1"/>
      <c r="Q40" s="41"/>
      <c r="R40" s="1"/>
      <c r="S40" s="3"/>
      <c r="T40" s="4"/>
    </row>
    <row r="41" spans="1:20" hidden="1" x14ac:dyDescent="0.35">
      <c r="B41" s="43" t="str">
        <f>IF(Q39=1,"+20,00%",)</f>
        <v>+20,00%</v>
      </c>
      <c r="C41" s="1">
        <v>9</v>
      </c>
      <c r="D41" s="1"/>
      <c r="E41" s="4">
        <f>IF(C44=9,(E18)*20%,)</f>
        <v>0</v>
      </c>
      <c r="F41" s="4"/>
      <c r="G41" s="4"/>
      <c r="H41" s="1"/>
      <c r="I41" s="4">
        <f>IF(C44=9,(E19+E20)*20%,)</f>
        <v>0</v>
      </c>
      <c r="J41" s="4"/>
      <c r="L41" s="1"/>
      <c r="M41" s="1"/>
      <c r="N41" s="1"/>
      <c r="O41" s="1"/>
      <c r="P41" s="1"/>
      <c r="Q41" t="s">
        <v>9</v>
      </c>
      <c r="R41" s="1"/>
      <c r="S41" s="141" t="s">
        <v>34</v>
      </c>
      <c r="T41" s="1"/>
    </row>
    <row r="42" spans="1:20" hidden="1" x14ac:dyDescent="0.35">
      <c r="B42" s="42" t="str">
        <f>IF(Q39=1,"-25,00%",)</f>
        <v>-25,00%</v>
      </c>
      <c r="C42" s="1">
        <v>10</v>
      </c>
      <c r="D42" s="4">
        <f>IF(C44=10,(E18)*25%,)</f>
        <v>0</v>
      </c>
      <c r="E42" s="4"/>
      <c r="F42" s="4"/>
      <c r="G42" s="4"/>
      <c r="H42" s="4">
        <f>IF(C44=10,(E19+E20)*25%,)</f>
        <v>0</v>
      </c>
      <c r="I42" s="4"/>
      <c r="J42" s="4"/>
      <c r="L42" s="1"/>
      <c r="M42" s="1"/>
      <c r="N42" s="1"/>
      <c r="O42" s="1"/>
      <c r="P42" s="1"/>
      <c r="Q42" s="1" t="s">
        <v>10</v>
      </c>
      <c r="R42" s="1"/>
      <c r="S42" s="141" t="s">
        <v>35</v>
      </c>
      <c r="T42" s="1"/>
    </row>
    <row r="43" spans="1:20" hidden="1" x14ac:dyDescent="0.35">
      <c r="B43" s="43" t="str">
        <f>IF(Q39=1,"+25,00%",)</f>
        <v>+25,00%</v>
      </c>
      <c r="C43" s="1">
        <v>11</v>
      </c>
      <c r="D43" s="1"/>
      <c r="E43" s="4">
        <f>IF(C44=11,(E18)*25%,)</f>
        <v>0</v>
      </c>
      <c r="F43" s="4"/>
      <c r="G43" s="4"/>
      <c r="H43" s="1"/>
      <c r="I43" s="4">
        <f>IF(C44=11,(E19+E20)*25%,)</f>
        <v>0</v>
      </c>
      <c r="J43" s="4"/>
      <c r="K43" s="1"/>
      <c r="L43" s="1"/>
      <c r="M43" s="1"/>
      <c r="N43" s="1"/>
      <c r="O43" s="1"/>
      <c r="P43" s="1"/>
      <c r="R43" s="1"/>
      <c r="S43" s="141" t="s">
        <v>36</v>
      </c>
      <c r="T43" s="1"/>
    </row>
    <row r="44" spans="1:20" hidden="1" x14ac:dyDescent="0.35">
      <c r="B44" s="44"/>
      <c r="C44" s="9">
        <f>VLOOKUP(J14,B33:C43,2,FALSE)</f>
        <v>1</v>
      </c>
      <c r="D44" s="10">
        <f>SUM(D34:D43)</f>
        <v>0</v>
      </c>
      <c r="E44" s="10">
        <f>SUM(E33:E43)</f>
        <v>0</v>
      </c>
      <c r="F44" s="10"/>
      <c r="G44" s="10"/>
      <c r="H44" s="10">
        <f>SUM(H34:H43)</f>
        <v>0</v>
      </c>
      <c r="I44" s="10">
        <f>SUM(I33:I43)</f>
        <v>0</v>
      </c>
      <c r="J44" s="4"/>
      <c r="L44" s="1"/>
      <c r="M44" s="1"/>
      <c r="N44" s="1"/>
      <c r="O44" s="1"/>
      <c r="P44" s="1"/>
      <c r="Q44" s="1"/>
      <c r="R44" s="1"/>
      <c r="S44" s="141" t="s">
        <v>37</v>
      </c>
      <c r="T44" s="1"/>
    </row>
    <row r="45" spans="1:20" ht="18" hidden="1" x14ac:dyDescent="0.35">
      <c r="B45" s="1"/>
      <c r="C45" s="1"/>
      <c r="D45" s="11" t="s">
        <v>1</v>
      </c>
      <c r="E45" s="11" t="s">
        <v>0</v>
      </c>
      <c r="F45" s="11"/>
      <c r="G45" s="11"/>
      <c r="H45" s="11" t="s">
        <v>1</v>
      </c>
      <c r="I45" s="11" t="s">
        <v>0</v>
      </c>
      <c r="J45" s="4"/>
      <c r="K45" s="1"/>
      <c r="L45" s="1"/>
      <c r="M45" s="4"/>
      <c r="N45" s="1"/>
      <c r="O45" s="1"/>
      <c r="P45" s="1"/>
      <c r="Q45" s="1"/>
      <c r="R45" s="1"/>
      <c r="S45" s="57" t="s">
        <v>46</v>
      </c>
      <c r="T45" s="1"/>
    </row>
    <row r="46" spans="1:20" ht="18" hidden="1" x14ac:dyDescent="0.35">
      <c r="A46" s="31"/>
      <c r="B46" s="14"/>
      <c r="C46" s="16"/>
      <c r="D46" s="15"/>
      <c r="E46" s="15"/>
      <c r="F46" s="15"/>
      <c r="G46" s="15"/>
      <c r="H46" s="15"/>
      <c r="I46" s="15"/>
      <c r="J46" s="16"/>
      <c r="K46" s="1">
        <f>IF(F23=20,0,IF(F23&gt;1,"Rendimento relevante:",))</f>
        <v>0</v>
      </c>
      <c r="L46" s="1"/>
      <c r="M46" s="95"/>
      <c r="N46" s="95"/>
      <c r="O46" s="96"/>
      <c r="P46" s="97" t="str">
        <f>IF(Q46=0,"",Q46)</f>
        <v/>
      </c>
      <c r="Q46" s="95">
        <f>IF(F23=0,0,IF(Q48&gt;1,0,IF(B48&gt;1,B48,)))</f>
        <v>0</v>
      </c>
      <c r="R46" s="1"/>
      <c r="S46" s="57" t="s">
        <v>47</v>
      </c>
      <c r="T46" s="1"/>
    </row>
    <row r="47" spans="1:20" ht="17" hidden="1" x14ac:dyDescent="0.5">
      <c r="A47" s="31"/>
      <c r="B47" s="38" t="s">
        <v>7</v>
      </c>
      <c r="C47" s="21"/>
      <c r="D47" s="17" t="s">
        <v>4</v>
      </c>
      <c r="E47" s="18" t="s">
        <v>6</v>
      </c>
      <c r="F47" s="18"/>
      <c r="G47" s="18"/>
      <c r="H47" s="19"/>
      <c r="I47" s="20"/>
      <c r="J47" s="21"/>
      <c r="K47" s="1">
        <f>IF(F25=20,0,IF(J10="Sim",0,IF(F25&gt;1,"Rendimento relevante:",)))</f>
        <v>0</v>
      </c>
      <c r="L47" s="1"/>
      <c r="M47" s="95"/>
      <c r="N47" s="96"/>
      <c r="O47" s="96"/>
      <c r="P47" s="97" t="str">
        <f>IF(Q47=0,"",Q47)</f>
        <v/>
      </c>
      <c r="Q47" s="95">
        <f>IF(J10="Sim",0,IF(B51&gt;1,B51,))</f>
        <v>0</v>
      </c>
      <c r="R47" s="1"/>
      <c r="S47" s="57" t="s">
        <v>48</v>
      </c>
      <c r="T47" s="1"/>
    </row>
    <row r="48" spans="1:20" ht="15.5" hidden="1" x14ac:dyDescent="0.35">
      <c r="A48" s="31"/>
      <c r="B48" s="5">
        <f>E18*F18+E19*F19+E20*F20</f>
        <v>0</v>
      </c>
      <c r="C48" s="131">
        <f>(B48/3)</f>
        <v>0</v>
      </c>
      <c r="D48" s="22">
        <f>IF(C48&lt;=G20,(C48)*P34,IF(C48&gt;G20,(G20)*P34,))</f>
        <v>0</v>
      </c>
      <c r="E48" s="5">
        <f>IF((C48-G19)*P34&gt;=D48,D48,(C48-G19)*P34)</f>
        <v>-411.24808000000002</v>
      </c>
      <c r="F48" s="5"/>
      <c r="G48" s="5"/>
      <c r="H48" s="10"/>
      <c r="I48" s="62">
        <f>SUM(E18:E20)</f>
        <v>0</v>
      </c>
      <c r="J48" s="23"/>
      <c r="K48" s="1" t="str">
        <f>IF(J10="Sim",0,IF(T34&gt;1,"BIC =",IF(J10="Sim",0,IF(T33&gt;1,"BIC =",))))</f>
        <v>BIC =</v>
      </c>
      <c r="L48" s="1"/>
      <c r="M48" s="97" t="str">
        <f>IF(T34=0,"",N48)</f>
        <v/>
      </c>
      <c r="N48" s="98">
        <f>IF(C51+I53=0,0,T34)</f>
        <v>0</v>
      </c>
      <c r="O48" s="96"/>
      <c r="P48" s="99" t="str">
        <f>IF(Q48=0,"",Q48)</f>
        <v/>
      </c>
      <c r="Q48" s="100">
        <f>IF(J10="Sim",0,IF(J14=0%,0,SUM(I53+J53)))</f>
        <v>0</v>
      </c>
      <c r="R48" s="94"/>
      <c r="S48" s="57" t="s">
        <v>49</v>
      </c>
      <c r="T48" s="1"/>
    </row>
    <row r="49" spans="1:20" hidden="1" x14ac:dyDescent="0.35">
      <c r="A49" s="31"/>
      <c r="B49" s="173" t="s">
        <v>8</v>
      </c>
      <c r="C49" s="174"/>
      <c r="D49" s="5">
        <f>IF(J10="não",IF(D48&lt;0,0,D48))</f>
        <v>0</v>
      </c>
      <c r="E49" s="5" t="b">
        <f>IF(J10="sim",IF(E48&lt;0,0,E48))</f>
        <v>0</v>
      </c>
      <c r="F49" s="5"/>
      <c r="G49" s="5"/>
      <c r="H49" s="19">
        <f>IF(Q48&gt;1,0,SUM(D49+E49,))</f>
        <v>0</v>
      </c>
      <c r="I49" s="4">
        <f>IF(Q48&gt;=1,0,IF(J10="não",IF(I48=0,20,)))</f>
        <v>20</v>
      </c>
      <c r="J49" s="24">
        <f>IF(H49&lt;=20,20,H49)-I49</f>
        <v>0</v>
      </c>
      <c r="K49" s="1"/>
      <c r="L49" s="1"/>
      <c r="M49" s="97">
        <f>IF(N49=0,"",N49)</f>
        <v>93.45794392523365</v>
      </c>
      <c r="N49" s="98">
        <f>IF(J10="Sim",0,IF(T33=0,0,T33))</f>
        <v>93.45794392523365</v>
      </c>
      <c r="O49" s="1"/>
      <c r="P49" s="1"/>
      <c r="Q49" s="1"/>
      <c r="R49" s="1"/>
      <c r="S49" s="1"/>
      <c r="T49" s="1"/>
    </row>
    <row r="50" spans="1:20" hidden="1" x14ac:dyDescent="0.35">
      <c r="A50" s="31"/>
      <c r="B50" s="25"/>
      <c r="C50" s="27"/>
      <c r="D50" s="25"/>
      <c r="E50" s="25"/>
      <c r="F50" s="25"/>
      <c r="G50" s="25"/>
      <c r="H50" s="25"/>
      <c r="I50" s="26"/>
      <c r="J50" s="27"/>
      <c r="K50" s="1"/>
      <c r="L50" s="1"/>
      <c r="M50" s="4"/>
      <c r="N50" s="4"/>
      <c r="O50" s="1"/>
      <c r="P50" s="40" t="str">
        <f>IF(Q50=0,"",Q50)</f>
        <v/>
      </c>
      <c r="Q50" s="95">
        <f>IF(F25&lt;=20,0,IF(J10="Sim",0,Q37))</f>
        <v>0</v>
      </c>
      <c r="R50" s="1"/>
      <c r="S50" s="1"/>
      <c r="T50" s="1"/>
    </row>
    <row r="51" spans="1:20" hidden="1" x14ac:dyDescent="0.35">
      <c r="A51" s="31"/>
      <c r="B51" s="28">
        <f>IF(J14=0%,0,E18*F18+E19*F19+E20*F20+B54+B55-B56-B57)</f>
        <v>0</v>
      </c>
      <c r="C51" s="36">
        <f>B51/3</f>
        <v>0</v>
      </c>
      <c r="D51" s="29" t="s">
        <v>3</v>
      </c>
      <c r="E51" s="29" t="s">
        <v>2</v>
      </c>
      <c r="F51" s="29"/>
      <c r="G51" s="29"/>
      <c r="H51" s="30"/>
      <c r="I51" s="14"/>
      <c r="J51" s="61">
        <f>B51/3</f>
        <v>0</v>
      </c>
      <c r="K51" s="4"/>
      <c r="L51" s="1"/>
      <c r="M51" s="1"/>
      <c r="N51" s="4"/>
      <c r="O51" s="1"/>
      <c r="P51" s="1"/>
      <c r="Q51" s="1"/>
      <c r="R51" s="1"/>
      <c r="S51" s="74"/>
      <c r="T51" s="4"/>
    </row>
    <row r="52" spans="1:20" hidden="1" x14ac:dyDescent="0.35">
      <c r="A52" s="31"/>
      <c r="C52" s="33"/>
      <c r="D52" s="4">
        <f>IF(D56&gt;=D57,D57,SUM(D49+D55))</f>
        <v>0</v>
      </c>
      <c r="E52" s="13">
        <f>IF((C51-G19)*P34&gt;=D48,D48,(C51-G19)*P34)</f>
        <v>-411.24808000000002</v>
      </c>
      <c r="F52" s="13"/>
      <c r="G52" s="13"/>
      <c r="H52" s="4"/>
      <c r="I52" s="62">
        <f>SUM(E18:E20)</f>
        <v>0</v>
      </c>
      <c r="J52" s="31"/>
      <c r="K52" s="4"/>
      <c r="L52" s="1"/>
      <c r="M52" s="1"/>
      <c r="N52" s="4"/>
      <c r="O52" s="1"/>
      <c r="P52" s="1"/>
      <c r="Q52" s="1"/>
      <c r="R52" s="1"/>
      <c r="S52" s="3"/>
      <c r="T52" s="4"/>
    </row>
    <row r="53" spans="1:20" ht="15" hidden="1" thickBot="1" x14ac:dyDescent="0.4">
      <c r="A53" s="31"/>
      <c r="B53" s="173" t="s">
        <v>5</v>
      </c>
      <c r="C53" s="174"/>
      <c r="D53" s="5">
        <f>IF(J10="não",IF(D52&lt;0,0,D52))</f>
        <v>0</v>
      </c>
      <c r="E53" s="5" t="b">
        <f>IF(J10="sim",IF(E52&lt;0,0,E52))</f>
        <v>0</v>
      </c>
      <c r="F53" s="5"/>
      <c r="G53" s="5"/>
      <c r="H53" s="19">
        <f>SUM(D53+E53)</f>
        <v>0</v>
      </c>
      <c r="I53" s="4">
        <f>IF(J14=0%,0,IF(J10="não",IF(I52=0,20,)))</f>
        <v>0</v>
      </c>
      <c r="J53" s="23">
        <f>IF(H53&lt;=20,20,IF(J51&gt;G20,J49,H53))-I53</f>
        <v>20</v>
      </c>
      <c r="K53" s="4"/>
      <c r="L53" s="1"/>
      <c r="M53" s="1"/>
      <c r="N53" s="118" t="s">
        <v>28</v>
      </c>
      <c r="O53" s="1"/>
      <c r="P53" s="1"/>
      <c r="Q53" s="1" t="str">
        <f>IF(Q48&gt;=1,0,IF(F23&gt;=1,"← Contribuição Mensal:"))</f>
        <v>← Contribuição Mensal:</v>
      </c>
      <c r="R53" s="1"/>
      <c r="S53" s="3"/>
      <c r="T53" s="1"/>
    </row>
    <row r="54" spans="1:20" ht="15" hidden="1" thickTop="1" x14ac:dyDescent="0.35">
      <c r="A54" s="31"/>
      <c r="B54" s="4">
        <f>E44*F18</f>
        <v>0</v>
      </c>
      <c r="C54" s="32"/>
      <c r="D54" s="1"/>
      <c r="H54" s="4">
        <f>(H55*J14)</f>
        <v>0</v>
      </c>
      <c r="I54" s="1"/>
      <c r="J54" s="32"/>
      <c r="K54" s="4"/>
      <c r="L54" s="1"/>
      <c r="M54" s="4"/>
      <c r="N54" s="121">
        <v>2023</v>
      </c>
      <c r="O54" s="122">
        <v>8</v>
      </c>
      <c r="P54" s="119"/>
      <c r="Q54">
        <f>IF(F23&lt;=20,0,IF(Q48&gt;=1,0,IF(F23&gt;=1,"- Cálculo feito com base na declaração trimestral (rendimentos brutos):")))</f>
        <v>0</v>
      </c>
      <c r="R54" s="1"/>
      <c r="S54" s="3"/>
      <c r="T54" s="1"/>
    </row>
    <row r="55" spans="1:20" ht="15" hidden="1" thickBot="1" x14ac:dyDescent="0.4">
      <c r="A55" s="31"/>
      <c r="B55" s="4">
        <f>I44*F19</f>
        <v>0</v>
      </c>
      <c r="C55" s="32"/>
      <c r="D55" s="4">
        <f>D49*J14</f>
        <v>0</v>
      </c>
      <c r="E55" s="4"/>
      <c r="F55" s="4"/>
      <c r="G55" s="4"/>
      <c r="H55" s="4">
        <f>IF(J10="sim",0,IF(J10="não",IF(H53&lt;=20,20,)))</f>
        <v>20</v>
      </c>
      <c r="I55" s="1"/>
      <c r="J55" s="33"/>
      <c r="K55" s="1"/>
      <c r="L55" s="1"/>
      <c r="M55" s="1"/>
      <c r="N55" s="123"/>
      <c r="O55" s="124">
        <f>VLOOKUP(I17,N54:O54,2,FALSE)</f>
        <v>8</v>
      </c>
      <c r="P55" s="119"/>
      <c r="Q55" s="1">
        <f>IF(Q48&gt;=1,"← Contribuição Mensal:",)</f>
        <v>0</v>
      </c>
      <c r="R55" s="1"/>
      <c r="S55" s="1"/>
      <c r="T55" s="1"/>
    </row>
    <row r="56" spans="1:20" ht="15" hidden="1" thickTop="1" x14ac:dyDescent="0.35">
      <c r="A56" s="31"/>
      <c r="B56" s="4">
        <f>D44*F18</f>
        <v>0</v>
      </c>
      <c r="C56" s="33">
        <f>B54+B55+B56+B57</f>
        <v>0</v>
      </c>
      <c r="D56" s="4">
        <f>D49+D55</f>
        <v>0</v>
      </c>
      <c r="E56" s="5"/>
      <c r="F56" s="5"/>
      <c r="G56" s="5"/>
      <c r="H56" s="4">
        <f>IF(H55+H54&lt;=20,20,SUM(H54:H55))</f>
        <v>20</v>
      </c>
      <c r="I56" s="1"/>
      <c r="J56" s="33"/>
      <c r="K56" s="130"/>
      <c r="L56" s="1"/>
      <c r="M56" s="1" t="str">
        <f>IF(K56=0,"",K56)</f>
        <v/>
      </c>
      <c r="N56" s="1"/>
      <c r="O56" s="1"/>
      <c r="P56" s="119"/>
      <c r="Q56" s="1">
        <f>IF(F25&lt;=20,0,IF(F25&gt;=1,"- Cálculo feito com base na declaração trimestral (rendimentos brutos):"))</f>
        <v>0</v>
      </c>
      <c r="R56" s="1"/>
      <c r="S56" s="1"/>
      <c r="T56" s="1"/>
    </row>
    <row r="57" spans="1:20" hidden="1" x14ac:dyDescent="0.35">
      <c r="A57" s="31"/>
      <c r="B57" s="4">
        <f>H44*F19</f>
        <v>0</v>
      </c>
      <c r="C57" s="37"/>
      <c r="D57" s="46">
        <f>G20*E13</f>
        <v>1233.74424</v>
      </c>
      <c r="E57" s="26"/>
      <c r="F57" s="26"/>
      <c r="G57" s="26"/>
      <c r="H57" s="34"/>
      <c r="I57" s="34"/>
      <c r="J57" s="35"/>
      <c r="K57" s="130"/>
      <c r="L57" s="1"/>
      <c r="M57" s="1"/>
      <c r="P57" s="119"/>
      <c r="Q57" s="1" t="str">
        <f>IF(J10="Sim",0,IF(F23&gt;=1,"Base de incidência contributiva mensal ",IF(F25&lt;=20,"Base de incidência contributiva mensal",IF(F25&gt;20,"Base de incidência contributiva mensal com variação de:",""))))</f>
        <v xml:space="preserve">Base de incidência contributiva mensal </v>
      </c>
      <c r="R57" s="1"/>
      <c r="S57" s="1"/>
      <c r="T57" s="1"/>
    </row>
    <row r="58" spans="1:20" hidden="1" x14ac:dyDescent="0.35">
      <c r="B58" s="1"/>
      <c r="C58" s="1"/>
      <c r="E58" s="4"/>
      <c r="F58" s="4"/>
      <c r="G58" s="4"/>
      <c r="H58" s="4"/>
      <c r="I58" s="1"/>
      <c r="J58" s="4"/>
      <c r="K58" s="1"/>
      <c r="L58" s="1"/>
      <c r="M58" s="4"/>
      <c r="P58" s="119"/>
      <c r="Q58" s="1" t="str">
        <f>IF(F25=20,0,+T36)</f>
        <v/>
      </c>
      <c r="R58" s="1"/>
      <c r="S58" s="1" t="str">
        <f>IF(Q58=0,"",Q58)</f>
        <v/>
      </c>
      <c r="T58" s="1"/>
    </row>
    <row r="59" spans="1:20" hidden="1" x14ac:dyDescent="0.35">
      <c r="B59" s="1"/>
      <c r="C59" s="1"/>
      <c r="D59" s="1"/>
      <c r="E59" s="5"/>
      <c r="F59" s="5"/>
      <c r="G59" s="5"/>
      <c r="H59" s="4"/>
      <c r="I59" s="126"/>
      <c r="J59" s="4"/>
      <c r="K59" s="1"/>
      <c r="L59" s="1"/>
      <c r="M59" s="4"/>
      <c r="N59" s="1"/>
      <c r="O59" s="1"/>
      <c r="P59" s="119"/>
      <c r="Q59" s="1"/>
      <c r="R59" s="1"/>
      <c r="S59" s="1"/>
      <c r="T59" s="1"/>
    </row>
    <row r="60" spans="1:20" hidden="1" x14ac:dyDescent="0.35">
      <c r="P60" s="119"/>
      <c r="Q60" s="1"/>
      <c r="R60" s="1"/>
      <c r="S60" s="1"/>
      <c r="T60" s="1"/>
    </row>
    <row r="61" spans="1:20" hidden="1" x14ac:dyDescent="0.35">
      <c r="P61" s="120"/>
    </row>
    <row r="65" spans="2:12" hidden="1" x14ac:dyDescent="0.35">
      <c r="D65" s="4"/>
      <c r="E65" s="13"/>
      <c r="F65" s="13"/>
      <c r="G65" s="13"/>
    </row>
    <row r="66" spans="2:12" hidden="1" x14ac:dyDescent="0.35">
      <c r="D66" s="4"/>
      <c r="E66" s="4"/>
      <c r="F66" s="4"/>
      <c r="G66" s="4"/>
    </row>
    <row r="67" spans="2:12" hidden="1" x14ac:dyDescent="0.35">
      <c r="B67" s="173"/>
      <c r="C67" s="173"/>
      <c r="D67" s="5"/>
      <c r="E67" s="5"/>
      <c r="F67" s="5"/>
      <c r="G67" s="5"/>
      <c r="H67" s="5"/>
      <c r="J67" s="5"/>
    </row>
    <row r="68" spans="2:12" x14ac:dyDescent="0.35">
      <c r="D68" s="1"/>
    </row>
    <row r="69" spans="2:12" ht="15" thickBot="1" x14ac:dyDescent="0.4">
      <c r="D69" s="4"/>
      <c r="E69" s="4"/>
      <c r="F69" s="4"/>
      <c r="G69" s="4"/>
    </row>
    <row r="70" spans="2:12" ht="16.5" thickTop="1" thickBot="1" x14ac:dyDescent="0.4">
      <c r="B70" s="158" t="s">
        <v>11</v>
      </c>
      <c r="C70" s="159"/>
      <c r="D70" s="159"/>
      <c r="E70" s="159"/>
      <c r="F70" s="160"/>
      <c r="G70" s="153" t="s">
        <v>12</v>
      </c>
      <c r="H70" s="154"/>
      <c r="I70" s="154"/>
      <c r="J70" s="154"/>
      <c r="K70" s="154"/>
      <c r="L70" s="155"/>
    </row>
    <row r="71" spans="2:12" ht="15.5" x14ac:dyDescent="0.35">
      <c r="B71" s="47" t="s">
        <v>42</v>
      </c>
      <c r="C71" s="48"/>
      <c r="D71" s="49"/>
      <c r="E71" s="50"/>
      <c r="F71" s="50"/>
      <c r="G71" s="56" t="s">
        <v>38</v>
      </c>
      <c r="H71" s="48"/>
      <c r="I71" s="49"/>
      <c r="J71" s="50"/>
      <c r="K71" s="51"/>
      <c r="L71" s="54"/>
    </row>
    <row r="72" spans="2:12" ht="15.5" x14ac:dyDescent="0.35">
      <c r="B72" s="63" t="s">
        <v>43</v>
      </c>
      <c r="C72" s="64"/>
      <c r="D72" s="65"/>
      <c r="E72" s="66"/>
      <c r="F72" s="66"/>
      <c r="G72" s="67" t="s">
        <v>41</v>
      </c>
      <c r="H72" s="64"/>
      <c r="I72" s="65"/>
      <c r="J72" s="66"/>
      <c r="K72" s="64"/>
      <c r="L72" s="68"/>
    </row>
    <row r="73" spans="2:12" ht="15.5" x14ac:dyDescent="0.35">
      <c r="B73" s="47" t="s">
        <v>44</v>
      </c>
      <c r="C73" s="53"/>
      <c r="D73" s="52"/>
      <c r="E73" s="52"/>
      <c r="F73" s="52"/>
      <c r="G73" s="56" t="s">
        <v>39</v>
      </c>
      <c r="H73" s="53"/>
      <c r="I73" s="52"/>
      <c r="J73" s="52"/>
      <c r="K73" s="51"/>
      <c r="L73" s="55"/>
    </row>
    <row r="74" spans="2:12" ht="16" thickBot="1" x14ac:dyDescent="0.4">
      <c r="B74" s="69" t="s">
        <v>45</v>
      </c>
      <c r="C74" s="70"/>
      <c r="D74" s="70"/>
      <c r="E74" s="70"/>
      <c r="F74" s="70"/>
      <c r="G74" s="71" t="s">
        <v>40</v>
      </c>
      <c r="H74" s="70"/>
      <c r="I74" s="70"/>
      <c r="J74" s="70"/>
      <c r="K74" s="70"/>
      <c r="L74" s="72"/>
    </row>
    <row r="75" spans="2:12" ht="15" thickTop="1" x14ac:dyDescent="0.35"/>
    <row r="81" customFormat="1" hidden="1" x14ac:dyDescent="0.35"/>
  </sheetData>
  <sheetProtection algorithmName="SHA-512" hashValue="XslkX3HKYtShHpWD6ANozFq0+kP9UrZ2I3JdeZeWMoV6hGFDFjr4/Jc8bRIrDtI+jnIl1bGCTLbaQOd1/Vh1iw==" saltValue="umRzKeUyoAyC1Qpp0nKWag==" spinCount="100000" sheet="1" selectLockedCells="1"/>
  <mergeCells count="28">
    <mergeCell ref="B6:L6"/>
    <mergeCell ref="B7:E7"/>
    <mergeCell ref="B67:C67"/>
    <mergeCell ref="B49:C49"/>
    <mergeCell ref="B53:C53"/>
    <mergeCell ref="J9:K9"/>
    <mergeCell ref="J13:K13"/>
    <mergeCell ref="J14:K14"/>
    <mergeCell ref="B17:E17"/>
    <mergeCell ref="G17:H17"/>
    <mergeCell ref="B12:D12"/>
    <mergeCell ref="B13:D13"/>
    <mergeCell ref="F14:I14"/>
    <mergeCell ref="J19:K20"/>
    <mergeCell ref="J17:K17"/>
    <mergeCell ref="B10:H10"/>
    <mergeCell ref="B70:F70"/>
    <mergeCell ref="B22:L22"/>
    <mergeCell ref="G20:H20"/>
    <mergeCell ref="F25:G25"/>
    <mergeCell ref="F23:G23"/>
    <mergeCell ref="B28:E28"/>
    <mergeCell ref="G7:K7"/>
    <mergeCell ref="J10:K10"/>
    <mergeCell ref="G18:H18"/>
    <mergeCell ref="G19:H19"/>
    <mergeCell ref="G70:L70"/>
    <mergeCell ref="J18:K18"/>
  </mergeCells>
  <dataValidations count="4">
    <dataValidation type="list" allowBlank="1" showInputMessage="1" showErrorMessage="1" sqref="J14" xr:uid="{0B65304F-5443-4A5A-9E8C-53E25267A7AA}">
      <formula1>$B$33:$B$43</formula1>
    </dataValidation>
    <dataValidation type="list" allowBlank="1" showInputMessage="1" showErrorMessage="1" sqref="B13" xr:uid="{E5AB2178-9E46-4C14-A6F8-AE29819A4D35}">
      <formula1>$M$34:$M$35</formula1>
    </dataValidation>
    <dataValidation type="list" allowBlank="1" showInputMessage="1" showErrorMessage="1" sqref="J10" xr:uid="{F8BBD7FD-0E2E-4EE3-8997-5804412928C0}">
      <formula1>$Q$41:$Q$42</formula1>
    </dataValidation>
    <dataValidation type="list" allowBlank="1" showInputMessage="1" showErrorMessage="1" sqref="J18:K18" xr:uid="{E33A77B7-70E5-44EF-92BF-E210F849B8B7}">
      <formula1>$S$45:$S$48</formula1>
    </dataValidation>
  </dataValidations>
  <hyperlinks>
    <hyperlink ref="G7" r:id="rId1" tooltip="GUIA PRÁTICO da SS" xr:uid="{8BC5498D-577A-4243-BC66-F7570871366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Simulador TI Seg. Social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Mesquita</dc:creator>
  <cp:lastModifiedBy>Francisco Mesquita</cp:lastModifiedBy>
  <dcterms:created xsi:type="dcterms:W3CDTF">2018-11-06T20:30:14Z</dcterms:created>
  <dcterms:modified xsi:type="dcterms:W3CDTF">2023-01-20T20:35:53Z</dcterms:modified>
</cp:coreProperties>
</file>