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 Mesquita\Desktop\Pasta Meus Documentos\2018 IRS\"/>
    </mc:Choice>
  </mc:AlternateContent>
  <xr:revisionPtr revIDLastSave="0" documentId="13_ncr:1_{709E0E82-B5F6-4522-980E-97F982DEBA9C}" xr6:coauthVersionLast="40" xr6:coauthVersionMax="40" xr10:uidLastSave="{00000000-0000-0000-0000-000000000000}"/>
  <bookViews>
    <workbookView xWindow="0" yWindow="0" windowWidth="22872" windowHeight="8460" tabRatio="598" activeTab="1" xr2:uid="{00000000-000D-0000-FFFF-FFFF00000000}"/>
  </bookViews>
  <sheets>
    <sheet name="e-Fatura 2018" sheetId="3" r:id="rId1"/>
    <sheet name="Cálculo R. Simplificado 2018" sheetId="5" r:id="rId2"/>
    <sheet name="Simulador TI Seg. Social " sheetId="6" r:id="rId3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5" l="1"/>
  <c r="E24" i="5"/>
  <c r="D43" i="5"/>
  <c r="E41" i="5"/>
  <c r="D44" i="5"/>
  <c r="C57" i="5"/>
  <c r="E58" i="5"/>
  <c r="E55" i="5"/>
  <c r="E56" i="5"/>
  <c r="E57" i="5"/>
  <c r="E60" i="5"/>
  <c r="G61" i="5"/>
  <c r="C70" i="5"/>
  <c r="E71" i="5"/>
  <c r="E68" i="5"/>
  <c r="E69" i="5"/>
  <c r="E70" i="5"/>
  <c r="E73" i="5"/>
  <c r="G74" i="5"/>
  <c r="I65" i="3"/>
  <c r="Q7" i="6"/>
  <c r="E43" i="6"/>
  <c r="E39" i="6"/>
  <c r="B38" i="6"/>
  <c r="C38" i="6"/>
  <c r="O29" i="6"/>
  <c r="B27" i="6"/>
  <c r="L26" i="6"/>
  <c r="N24" i="6"/>
  <c r="G15" i="6"/>
  <c r="D47" i="6"/>
  <c r="H16" i="6"/>
  <c r="F14" i="6"/>
  <c r="F13" i="6"/>
  <c r="H6" i="6"/>
  <c r="D38" i="6"/>
  <c r="D39" i="6"/>
  <c r="B30" i="6"/>
  <c r="B32" i="6"/>
  <c r="B24" i="6"/>
  <c r="B26" i="6"/>
  <c r="B28" i="6"/>
  <c r="B29" i="6"/>
  <c r="B31" i="6"/>
  <c r="B33" i="6"/>
  <c r="B25" i="6"/>
  <c r="D49" i="5"/>
  <c r="C34" i="6"/>
  <c r="D24" i="6"/>
  <c r="F39" i="6"/>
  <c r="D45" i="6"/>
  <c r="D46" i="6"/>
  <c r="E38" i="6"/>
  <c r="D42" i="6"/>
  <c r="D43" i="6"/>
  <c r="F43" i="6"/>
  <c r="H43" i="6"/>
  <c r="D26" i="6"/>
  <c r="G33" i="6"/>
  <c r="D28" i="6"/>
  <c r="F32" i="6"/>
  <c r="F30" i="6"/>
  <c r="E31" i="6"/>
  <c r="F28" i="6"/>
  <c r="G27" i="6"/>
  <c r="F24" i="6"/>
  <c r="E33" i="6"/>
  <c r="F26" i="6"/>
  <c r="E29" i="6"/>
  <c r="G25" i="6"/>
  <c r="G29" i="6"/>
  <c r="D32" i="6"/>
  <c r="D30" i="6"/>
  <c r="E25" i="6"/>
  <c r="G31" i="6"/>
  <c r="E27" i="6"/>
  <c r="H39" i="6"/>
  <c r="G39" i="6"/>
  <c r="H19" i="6"/>
  <c r="D45" i="5"/>
  <c r="G45" i="5"/>
  <c r="I41" i="5"/>
  <c r="I24" i="5"/>
  <c r="F45" i="6"/>
  <c r="F44" i="6"/>
  <c r="F46" i="6"/>
  <c r="G43" i="6"/>
  <c r="H20" i="6"/>
  <c r="I32" i="6"/>
  <c r="I20" i="6"/>
  <c r="E34" i="6"/>
  <c r="B44" i="6"/>
  <c r="G34" i="6"/>
  <c r="B45" i="6"/>
  <c r="F34" i="6"/>
  <c r="B47" i="6"/>
  <c r="D34" i="6"/>
  <c r="B46" i="6"/>
  <c r="I31" i="6"/>
  <c r="I19" i="6"/>
  <c r="I30" i="6"/>
  <c r="B21" i="6"/>
  <c r="B41" i="6"/>
  <c r="C41" i="6"/>
  <c r="E42" i="6"/>
  <c r="O25" i="6"/>
  <c r="C46" i="6"/>
  <c r="H7" i="6"/>
  <c r="O27" i="6"/>
  <c r="G20" i="6"/>
</calcChain>
</file>

<file path=xl/sharedStrings.xml><?xml version="1.0" encoding="utf-8"?>
<sst xmlns="http://schemas.openxmlformats.org/spreadsheetml/2006/main" count="215" uniqueCount="172">
  <si>
    <t>Despesas Gerais Familiares</t>
  </si>
  <si>
    <t>Lares</t>
  </si>
  <si>
    <t>Reparação de Automóveis</t>
  </si>
  <si>
    <t>Reparação de Motociclos</t>
  </si>
  <si>
    <t>Restauração e Alojamento</t>
  </si>
  <si>
    <t>Cabeleireiros</t>
  </si>
  <si>
    <t>Pela Exigência de Fatura</t>
  </si>
  <si>
    <t>Atividades Veterinárias</t>
  </si>
  <si>
    <t>Passes Mensais</t>
  </si>
  <si>
    <t>NOTA:</t>
  </si>
  <si>
    <t>Artigo 135.º- I do CIMI</t>
  </si>
  <si>
    <t xml:space="preserve">
Habitação</t>
  </si>
  <si>
    <t>Teve como despesas, suportadas por faturas, para obter esse rendimento:</t>
  </si>
  <si>
    <t>Contabilista certificado que, em 2018, apenas aufere rendimentos provenientes da atividade de contabilista: 40 mil euros.</t>
  </si>
  <si>
    <t>Sujeito passivo que explora um apartamento como alojamento local, em 2018, aufere rendimentos provenientes dessa atividade, no valor de 50 mil euros.</t>
  </si>
  <si>
    <t>c) 200 euros…………………………………………………………………………………………………………………</t>
  </si>
  <si>
    <t>d) 300 euros……………………………………………………………………………………………………………………….</t>
  </si>
  <si>
    <t>e) 900 euros…………………………………………………………………………………………………………………….</t>
  </si>
  <si>
    <t>f) 4% x 150.000 euros = 6.000 euros……………………………………………………………………………………………</t>
  </si>
  <si>
    <r>
      <t>SOMA TOTAL</t>
    </r>
    <r>
      <rPr>
        <b/>
        <sz val="12"/>
        <rFont val="Calibri"/>
        <family val="2"/>
      </rPr>
      <t>→</t>
    </r>
  </si>
  <si>
    <t>Exemplo 1 (Profissionais Liberais)</t>
  </si>
  <si>
    <t>Exemplo 2 (Alojamento Local)</t>
  </si>
  <si>
    <t>➤Deslocações a clientes: 500 euros;</t>
  </si>
  <si>
    <t>➤Aquisição de papel e material diverso: 300 euros;</t>
  </si>
  <si>
    <t xml:space="preserve">➤Este sujeito passivo exerce a sua atividade num imóvel de que é proprietário e, o qual, também é a sua habitação. Esse imóvel tem um VPT de 100 mil euros. </t>
  </si>
  <si>
    <t>➤Suportou despesas com eletricidade, nesse imóvel de 600 euros;</t>
  </si>
  <si>
    <t>➤Água: 200 euros</t>
  </si>
  <si>
    <t>➤Aquisição de serviços de lavandaria e limpeza: 900 euros;</t>
  </si>
  <si>
    <t>➤O apartamento usado está afeto, na integra, à atividade tendo um VPT de 150 mil euros.</t>
  </si>
  <si>
    <t>➤Gás: 300 euros;</t>
  </si>
  <si>
    <t>Dedução em IRS</t>
  </si>
  <si>
    <t xml:space="preserve"> DESPESAS E ENCARGOS A INSERIR NO SIMULADOR</t>
  </si>
  <si>
    <t>Rendimento Tributável</t>
  </si>
  <si>
    <t>Ano: 2018</t>
  </si>
  <si>
    <t xml:space="preserve">Rendimento do Sujeito Passivo A </t>
  </si>
  <si>
    <r>
      <t>Profissional Liberal</t>
    </r>
    <r>
      <rPr>
        <sz val="8"/>
        <color theme="1"/>
        <rFont val="Calibri"/>
        <family val="2"/>
        <scheme val="minor"/>
      </rPr>
      <t xml:space="preserve"> (Campo 403) </t>
    </r>
    <r>
      <rPr>
        <sz val="11"/>
        <color theme="1"/>
        <rFont val="Calibri"/>
        <family val="2"/>
        <scheme val="minor"/>
      </rPr>
      <t xml:space="preserve">= </t>
    </r>
  </si>
  <si>
    <r>
      <rPr>
        <sz val="9"/>
        <color theme="1"/>
        <rFont val="Calibri"/>
        <family val="2"/>
      </rPr>
      <t>←</t>
    </r>
    <r>
      <rPr>
        <sz val="9"/>
        <color theme="1"/>
        <rFont val="Calibri"/>
        <family val="2"/>
        <scheme val="minor"/>
      </rPr>
      <t>Coeficiente 75%</t>
    </r>
  </si>
  <si>
    <r>
      <rPr>
        <sz val="9"/>
        <color theme="1"/>
        <rFont val="Calibri"/>
        <family val="2"/>
      </rPr>
      <t>←</t>
    </r>
    <r>
      <rPr>
        <sz val="9"/>
        <color theme="1"/>
        <rFont val="Calibri"/>
        <family val="2"/>
        <scheme val="minor"/>
      </rPr>
      <t>Coeficiente 35%</t>
    </r>
  </si>
  <si>
    <t>← SOMAS</t>
  </si>
  <si>
    <r>
      <t xml:space="preserve">SOMA </t>
    </r>
    <r>
      <rPr>
        <sz val="10"/>
        <color rgb="FFFF0000"/>
        <rFont val="Calibri"/>
        <family val="2"/>
      </rPr>
      <t>→</t>
    </r>
  </si>
  <si>
    <t>Artigo 31.º n.º 13 do CIRS</t>
  </si>
  <si>
    <t>x 0,75 =</t>
  </si>
  <si>
    <t>x 0,35 =</t>
  </si>
  <si>
    <r>
      <t xml:space="preserve">Alojamento Local </t>
    </r>
    <r>
      <rPr>
        <sz val="8"/>
        <color theme="1"/>
        <rFont val="Calibri"/>
        <family val="2"/>
        <scheme val="minor"/>
      </rPr>
      <t xml:space="preserve"> (Campo 417) </t>
    </r>
    <r>
      <rPr>
        <sz val="11"/>
        <color theme="1"/>
        <rFont val="Calibri"/>
        <family val="2"/>
        <scheme val="minor"/>
      </rPr>
      <t xml:space="preserve"> = </t>
    </r>
  </si>
  <si>
    <t>↔Deslocações a clientes;</t>
  </si>
  <si>
    <t>↔Aquisição de material diverso;</t>
  </si>
  <si>
    <t>↔Imóvel onde exerce a atividade e habita;</t>
  </si>
  <si>
    <t>↔Despesas com eletricidade.</t>
  </si>
  <si>
    <t>↔Eletricidade;</t>
  </si>
  <si>
    <t>↔Água;</t>
  </si>
  <si>
    <t>↔Gás;</t>
  </si>
  <si>
    <t>↔Despesas de lavandaria e limpeza;</t>
  </si>
  <si>
    <t>↔Imóvel onde exerce a atividade.</t>
  </si>
  <si>
    <r>
      <t>Despesas e encargos a considerar</t>
    </r>
    <r>
      <rPr>
        <b/>
        <sz val="11"/>
        <color rgb="FF002060"/>
        <rFont val="Calibri"/>
        <family val="2"/>
      </rPr>
      <t>↓</t>
    </r>
  </si>
  <si>
    <r>
      <t xml:space="preserve">Despesas e encargos a considerar </t>
    </r>
    <r>
      <rPr>
        <b/>
        <sz val="11"/>
        <color rgb="FF002060"/>
        <rFont val="Calibri"/>
        <family val="2"/>
      </rPr>
      <t>↓</t>
    </r>
  </si>
  <si>
    <t>Total de despesas e encargos justificados a deduzir……………………………………….……………………………………………………</t>
  </si>
  <si>
    <t>Total de despesas e encargos justificados a deduzir…………………………………………………………………………</t>
  </si>
  <si>
    <r>
      <t xml:space="preserve">Profissionais Liberais </t>
    </r>
    <r>
      <rPr>
        <b/>
        <sz val="10"/>
        <color theme="1"/>
        <rFont val="Calibri"/>
        <family val="2"/>
        <scheme val="minor"/>
      </rPr>
      <t>(Despesas justificadas)</t>
    </r>
    <r>
      <rPr>
        <b/>
        <sz val="10"/>
        <color theme="1"/>
        <rFont val="Calibri"/>
        <family val="2"/>
      </rPr>
      <t>→</t>
    </r>
  </si>
  <si>
    <r>
      <t xml:space="preserve">Alojamento Local </t>
    </r>
    <r>
      <rPr>
        <b/>
        <sz val="10"/>
        <color theme="1"/>
        <rFont val="Calibri"/>
        <family val="2"/>
        <scheme val="minor"/>
      </rPr>
      <t xml:space="preserve"> (Despesas justificadas)</t>
    </r>
    <r>
      <rPr>
        <b/>
        <sz val="10"/>
        <color theme="1"/>
        <rFont val="Calibri"/>
        <family val="2"/>
      </rPr>
      <t>→</t>
    </r>
  </si>
  <si>
    <t>c) Quotizações para Ordens Profissionais……………………………………………………………………………………………………………</t>
  </si>
  <si>
    <t>Arrendamento alunos deslocados</t>
  </si>
  <si>
    <t>Valor a colocar no simulador</t>
  </si>
  <si>
    <r>
      <t xml:space="preserve"> </t>
    </r>
    <r>
      <rPr>
        <b/>
        <sz val="11"/>
        <color rgb="FF00B0F0"/>
        <rFont val="Calibri"/>
        <family val="2"/>
      </rPr>
      <t xml:space="preserve">← </t>
    </r>
    <r>
      <rPr>
        <b/>
        <sz val="11"/>
        <color rgb="FF00B0F0"/>
        <rFont val="Calibri"/>
        <family val="2"/>
        <scheme val="minor"/>
      </rPr>
      <t xml:space="preserve">No simulador coloca </t>
    </r>
    <r>
      <rPr>
        <b/>
        <sz val="11"/>
        <color rgb="FF00B0F0"/>
        <rFont val="Calibri"/>
        <family val="2"/>
      </rPr>
      <t>→</t>
    </r>
  </si>
  <si>
    <t>← No simulador coloca →</t>
  </si>
  <si>
    <t>↑</t>
  </si>
  <si>
    <t xml:space="preserve">  ↑</t>
  </si>
  <si>
    <t>←Despesas justificadas com faturas registadas no Portal e-fatura</t>
  </si>
  <si>
    <t>➤Eletricidade: 600 euros;</t>
  </si>
  <si>
    <t>b) 600 euros……………………………………………………………………………………………………………………………..</t>
  </si>
  <si>
    <t>←Despesas que precisa justificar</t>
  </si>
  <si>
    <t xml:space="preserve">←Despesas que precisa Justificar </t>
  </si>
  <si>
    <t>←Como não tem despesas registadas no Portal e-fatura, o rendimento tributável é agravado  em relação ao do ano de 2017 no valor de 396 €</t>
  </si>
  <si>
    <t xml:space="preserve">←Como tem despesas registadas no Portal e-fatuar superiores ao valor que precisava justificar, neste caso o rendimento tributável é igual ao do ano de 2017 </t>
  </si>
  <si>
    <r>
      <t xml:space="preserve">0 €= </t>
    </r>
    <r>
      <rPr>
        <sz val="10"/>
        <rFont val="Calibri"/>
        <family val="2"/>
      </rPr>
      <t>→</t>
    </r>
  </si>
  <si>
    <r>
      <t xml:space="preserve">Rendimento Tributável regra de 2018 </t>
    </r>
    <r>
      <rPr>
        <b/>
        <sz val="11"/>
        <color rgb="FF0000FF"/>
        <rFont val="Calibri"/>
        <family val="2"/>
      </rPr>
      <t>→</t>
    </r>
  </si>
  <si>
    <r>
      <t xml:space="preserve">➤O sujeito passivo suportou ainda contribuições para a Segurança Social : 2.990 euros; </t>
    </r>
    <r>
      <rPr>
        <b/>
        <sz val="10"/>
        <color rgb="FF00B0F0"/>
        <rFont val="Calibri"/>
        <family val="2"/>
        <scheme val="minor"/>
      </rPr>
      <t>Coloque no Anexo B, campo 701 do simulador este valor</t>
    </r>
    <r>
      <rPr>
        <b/>
        <sz val="11"/>
        <color rgb="FF00B0F0"/>
        <rFont val="Calibri"/>
        <family val="2"/>
      </rPr>
      <t xml:space="preserve"> </t>
    </r>
    <r>
      <rPr>
        <b/>
        <sz val="11"/>
        <rFont val="Calibri"/>
        <family val="2"/>
      </rPr>
      <t>→</t>
    </r>
  </si>
  <si>
    <r>
      <t xml:space="preserve">➤O sujeito passivo suportou ainda contribuições para a Segurança Social : 3.500 euros; </t>
    </r>
    <r>
      <rPr>
        <b/>
        <sz val="11"/>
        <color rgb="FF00B0F0"/>
        <rFont val="Calibri"/>
        <family val="2"/>
      </rPr>
      <t xml:space="preserve"> </t>
    </r>
    <r>
      <rPr>
        <b/>
        <sz val="10"/>
        <color rgb="FF00B0F0"/>
        <rFont val="Calibri"/>
        <family val="2"/>
      </rPr>
      <t>Coloque no Anexo B, campo 701 do simulador este valor</t>
    </r>
    <r>
      <rPr>
        <b/>
        <sz val="11"/>
        <color rgb="FF00B0F0"/>
        <rFont val="Calibri"/>
        <family val="2"/>
      </rPr>
      <t xml:space="preserve"> </t>
    </r>
    <r>
      <rPr>
        <b/>
        <sz val="11"/>
        <rFont val="Calibri"/>
        <family val="2"/>
      </rPr>
      <t>→</t>
    </r>
  </si>
  <si>
    <t xml:space="preserve">                                     30.000 - 7.091</t>
  </si>
  <si>
    <t xml:space="preserve">                                    30.000 - 7.091</t>
  </si>
  <si>
    <t>a) – Da parte da coleta do IRS proporcional aos rendimentos líquidos da categoria F, no caso de englobamento; ou</t>
  </si>
  <si>
    <t>b) – Da coleta obtida por aplicação da taxa prevista na alínea e) do n.º 1 do artigo 72.º do Código do IRS, nos demais casos.</t>
  </si>
  <si>
    <t xml:space="preserve">        </t>
  </si>
  <si>
    <t xml:space="preserve">As suas despesas registadas neste setor totalizam → </t>
  </si>
  <si>
    <r>
      <t>502+ (800 - 502) x [</t>
    </r>
    <r>
      <rPr>
        <b/>
        <u/>
        <sz val="10"/>
        <color rgb="FFFF0000"/>
        <rFont val="Calibri"/>
        <family val="2"/>
        <scheme val="minor"/>
      </rPr>
      <t>(30.000 - rendimento coletável)]</t>
    </r>
  </si>
  <si>
    <r>
      <t>296 + (450 - 296) x [</t>
    </r>
    <r>
      <rPr>
        <b/>
        <u/>
        <sz val="10"/>
        <color rgb="FFFF0000"/>
        <rFont val="Calibri"/>
        <family val="2"/>
        <scheme val="minor"/>
      </rPr>
      <t>(30.000 - rendimento coletável)]</t>
    </r>
  </si>
  <si>
    <r>
      <rPr>
        <sz val="11"/>
        <color theme="1"/>
        <rFont val="Calibri"/>
        <family val="2"/>
      </rPr>
      <t xml:space="preserve">← </t>
    </r>
    <r>
      <rPr>
        <b/>
        <sz val="12"/>
        <color rgb="FFFF0000"/>
        <rFont val="Calibri"/>
        <family val="2"/>
        <scheme val="minor"/>
      </rPr>
      <t>a</t>
    </r>
    <r>
      <rPr>
        <b/>
        <sz val="11"/>
        <color rgb="FFFF0000"/>
        <rFont val="Calibri"/>
        <family val="2"/>
        <scheme val="minor"/>
      </rPr>
      <t>)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- </t>
    </r>
    <r>
      <rPr>
        <b/>
        <sz val="12"/>
        <color theme="1"/>
        <rFont val="Calibri"/>
        <family val="2"/>
        <scheme val="minor"/>
      </rPr>
      <t>Estes 6 setores, devem ser todos somados.</t>
    </r>
  </si>
  <si>
    <r>
      <t>a) 4.104 euros</t>
    </r>
    <r>
      <rPr>
        <sz val="10"/>
        <color theme="1"/>
        <rFont val="Garamond"/>
        <family val="1"/>
      </rPr>
      <t xml:space="preserve">  </t>
    </r>
    <r>
      <rPr>
        <b/>
        <sz val="8"/>
        <color rgb="FFFF0000"/>
        <rFont val="Tahoma"/>
        <family val="2"/>
      </rPr>
      <t>(Dedução fixa prevista no art.º 25.º n.º 1 do CIRS)</t>
    </r>
    <r>
      <rPr>
        <b/>
        <sz val="8"/>
        <rFont val="Tahoma"/>
        <family val="2"/>
      </rPr>
      <t>…………………………………………………………………………………………………</t>
    </r>
  </si>
  <si>
    <t>b) 500 euros…………………………………………………………………………………………………………….</t>
  </si>
  <si>
    <r>
      <t xml:space="preserve">a) 4.104 euros </t>
    </r>
    <r>
      <rPr>
        <b/>
        <sz val="8"/>
        <color rgb="FFFF0000"/>
        <rFont val="Tahoma"/>
        <family val="2"/>
      </rPr>
      <t>(Dedução fixa prevista no art.º 25.º n.º 1 do CIRS)</t>
    </r>
    <r>
      <rPr>
        <sz val="11"/>
        <rFont val="Calibri"/>
        <family val="2"/>
        <scheme val="minor"/>
      </rPr>
      <t>……………………………………………………………………………………….</t>
    </r>
  </si>
  <si>
    <t>Dedução Máxima: 15% do valor suportado por qualquer membro do agregado familiar com o limite global de 1000€.</t>
  </si>
  <si>
    <t>Dedução Máxima: 30% do valor suportado por qualquer membro do agregado familiar com o limite global de 800€.</t>
  </si>
  <si>
    <t>Dedução Máxima: 30% do valor suportado por qualquer membro do agregado familiar com o limite global de 300€.</t>
  </si>
  <si>
    <t>Dedução Máxima: 15% do valor suportado por qualquer membro do agregado familiar com o limite global de 502€, pode ir até 800€.</t>
  </si>
  <si>
    <t>Dedução Máxima: 15% do valor suportado por qualquer membro do agregado familiar com o limite global de 296€, pode ir até 450€.</t>
  </si>
  <si>
    <t>Dedução Máxima: 25% do valor suportado por qualquer membro do agregado familiar com o limite global de 403,75€.</t>
  </si>
  <si>
    <r>
      <t xml:space="preserve">➤ Quotizações para a OCC: 144 euros; </t>
    </r>
    <r>
      <rPr>
        <b/>
        <sz val="10"/>
        <color rgb="FF00B0F0"/>
        <rFont val="Calibri"/>
        <family val="2"/>
        <scheme val="minor"/>
      </rPr>
      <t>Coloque no</t>
    </r>
    <r>
      <rPr>
        <sz val="10"/>
        <color rgb="FF00B0F0"/>
        <rFont val="Garamond"/>
        <family val="1"/>
      </rPr>
      <t xml:space="preserve"> </t>
    </r>
    <r>
      <rPr>
        <b/>
        <sz val="10"/>
        <color rgb="FF00B0F0"/>
        <rFont val="Calibri"/>
        <family val="2"/>
      </rPr>
      <t xml:space="preserve">Anexo B, campo 703 do simulador este valor </t>
    </r>
    <r>
      <rPr>
        <b/>
        <sz val="10"/>
        <rFont val="Calibri"/>
        <family val="2"/>
      </rPr>
      <t>→</t>
    </r>
  </si>
  <si>
    <t>Dedução Máxima: 15% do IVA suportado nas faturas por qualquer membro do agregado familiar, excepto quanto aos passes que é 100% do IVA suportado, com o limite global de 250€</t>
  </si>
  <si>
    <t xml:space="preserve">Depois de inserir no simulador o adicional ao IMI pago, o cálculo com  o valor a deduzir à coleta em IRS é assumido automaticamente pelo simulador.
</t>
  </si>
  <si>
    <t xml:space="preserve">1 — O adicional ao imposto municipal sobre imóveis é dedutível à coleta do IRS devido pelos sujeitos passivos que detenham rendimentos imputáveis a prédios urbanos sobre os quais </t>
  </si>
  <si>
    <t>incida,  até à concorrência:</t>
  </si>
  <si>
    <t xml:space="preserve">2 — A dedução à coleta do adicional ao imposto municipal sobre imóveis prevista no número anterior é igualmente aplicável, com as necessárias adaptações, a sujeitos passivos de </t>
  </si>
  <si>
    <t>IRS titulares de rendimentos da Categoria B obtidos no âmbito de atividade de arrendamento ou hospedagem.</t>
  </si>
  <si>
    <t>Dedução Máxima: 35% do valor suportado por qualquer membro do agregado familiar com o limite global de 500€ Casados.</t>
  </si>
  <si>
    <t>Dedução Máxima: 35% do valor suportado com o limite global de de 250€ não Casados.</t>
  </si>
  <si>
    <t>Dedução Máxima: 45% do valor suportado por qualquer membro do agregado familiar com o limite global  de 335€ nas famílias monoparentais.</t>
  </si>
  <si>
    <t>DEDUÇÕES À COLETA</t>
  </si>
  <si>
    <r>
      <t xml:space="preserve"> ESTAS DEVEM SER COLOCADAS DE ACORDO COM O EXEMPLO ABAIXO INDICADO </t>
    </r>
    <r>
      <rPr>
        <b/>
        <sz val="11"/>
        <color rgb="FF0000FF"/>
        <rFont val="Calibri"/>
        <family val="2"/>
        <scheme val="minor"/>
      </rPr>
      <t>(Em valor a colocar no simulador)</t>
    </r>
  </si>
  <si>
    <r>
      <t>AS DESPESAS A INSERIR NO SIMULADOR, SÃO AS REGISTADAS NA PÁGINA PESSOAL DE  CADA SUJEITO PASSIVO/DEPENDENTE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theme="1"/>
        <rFont val="Calibri"/>
        <family val="2"/>
        <scheme val="minor"/>
      </rPr>
      <t>NO PORTAL E-FATURA,</t>
    </r>
  </si>
  <si>
    <t>↔As quotizações coloque no Anexo B,  campo 703</t>
  </si>
  <si>
    <r>
      <t xml:space="preserve">Novas regras do regime simplificado da categoria B para Profissionais Liberais </t>
    </r>
    <r>
      <rPr>
        <b/>
        <sz val="14"/>
        <rFont val="Arial Rounded MT Bold"/>
        <family val="2"/>
      </rPr>
      <t xml:space="preserve">+ </t>
    </r>
    <r>
      <rPr>
        <b/>
        <sz val="12"/>
        <rFont val="Arial Rounded MT Bold"/>
        <family val="2"/>
      </rPr>
      <t>Alojamento Local</t>
    </r>
  </si>
  <si>
    <t>d) 300 euros……………………………………………………………………………………………………………………………</t>
  </si>
  <si>
    <t>e) 1,5% x 100.000 euros x 25% = 375 euros……………………………………………………………………………………………………………</t>
  </si>
  <si>
    <t>f) 600 euros x 25% = 150 euros………………………………………………………………………………………………………………………………..</t>
  </si>
  <si>
    <t xml:space="preserve">CÁLCULO DOS DADOS ACIMA MENCIONADOS </t>
  </si>
  <si>
    <t xml:space="preserve">OUTRO EXEMPLO </t>
  </si>
  <si>
    <t>↔Os  € 4.104 são assumidos pelo simulador automaticamente</t>
  </si>
  <si>
    <r>
      <t xml:space="preserve">Até este valor, não sofreu quaisquer alteração </t>
    </r>
    <r>
      <rPr>
        <b/>
        <sz val="10"/>
        <color theme="0"/>
        <rFont val="Calibri"/>
        <family val="2"/>
      </rPr>
      <t>→</t>
    </r>
  </si>
  <si>
    <r>
      <rPr>
        <b/>
        <sz val="10"/>
        <color theme="0"/>
        <rFont val="Calibri"/>
        <family val="2"/>
      </rPr>
      <t>← ↓</t>
    </r>
    <r>
      <rPr>
        <b/>
        <sz val="10"/>
        <color theme="0"/>
        <rFont val="Calibri"/>
        <family val="2"/>
        <scheme val="minor"/>
      </rPr>
      <t>A partir deste valor, as regras são as que seguem em baixo</t>
    </r>
  </si>
  <si>
    <r>
      <rPr>
        <b/>
        <i/>
        <sz val="14"/>
        <rFont val="Calibri"/>
        <family val="2"/>
        <scheme val="minor"/>
      </rPr>
      <t>NOVO</t>
    </r>
    <r>
      <rPr>
        <b/>
        <i/>
        <sz val="14"/>
        <color rgb="FFFF0000"/>
        <rFont val="Calibri"/>
        <family val="2"/>
        <scheme val="minor"/>
      </rPr>
      <t xml:space="preserve"> Decreto-Lei n.º 2/2018, de 9 de janeiro, apresenta importantes alterações de natureza contributiva no regime dos trabalhadores independentes. </t>
    </r>
  </si>
  <si>
    <r>
      <t xml:space="preserve">A partir de 1 de janeiro de 2019 estas alterações produzem efeitos. </t>
    </r>
    <r>
      <rPr>
        <b/>
        <i/>
        <u/>
        <sz val="12"/>
        <rFont val="Calibri"/>
        <family val="2"/>
        <scheme val="minor"/>
      </rPr>
      <t>Este simulador não abrange a Contabilidade Organizada</t>
    </r>
  </si>
  <si>
    <r>
      <t xml:space="preserve">Base de incidência contributiva </t>
    </r>
    <r>
      <rPr>
        <b/>
        <sz val="12"/>
        <color rgb="FF002060"/>
        <rFont val="Calibri"/>
        <family val="2"/>
      </rPr>
      <t>→</t>
    </r>
  </si>
  <si>
    <t>(BIC) =</t>
  </si>
  <si>
    <t>Valores declarados trimestralmente.</t>
  </si>
  <si>
    <t>Opção pela fixação de um rendimento superior ou inferior até 25%</t>
  </si>
  <si>
    <r>
      <rPr>
        <b/>
        <sz val="10"/>
        <rFont val="Calibri"/>
        <family val="2"/>
        <scheme val="minor"/>
      </rPr>
      <t>OUT</t>
    </r>
    <r>
      <rPr>
        <b/>
        <sz val="10"/>
        <color rgb="FFFF0000"/>
        <rFont val="Calibri"/>
        <family val="2"/>
        <scheme val="minor"/>
      </rPr>
      <t>/</t>
    </r>
    <r>
      <rPr>
        <b/>
        <sz val="10"/>
        <rFont val="Calibri"/>
        <family val="2"/>
        <scheme val="minor"/>
      </rPr>
      <t>NOV</t>
    </r>
    <r>
      <rPr>
        <b/>
        <sz val="10"/>
        <color rgb="FFFF0000"/>
        <rFont val="Calibri"/>
        <family val="2"/>
        <scheme val="minor"/>
      </rPr>
      <t>/</t>
    </r>
    <r>
      <rPr>
        <b/>
        <sz val="10"/>
        <rFont val="Calibri"/>
        <family val="2"/>
        <scheme val="minor"/>
      </rPr>
      <t>DEZ</t>
    </r>
    <r>
      <rPr>
        <b/>
        <sz val="10"/>
        <color rgb="FFFF0000"/>
        <rFont val="Calibri"/>
        <family val="2"/>
        <scheme val="minor"/>
      </rPr>
      <t>/</t>
    </r>
    <r>
      <rPr>
        <b/>
        <sz val="10"/>
        <color rgb="FF0000FF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2018</t>
    </r>
  </si>
  <si>
    <r>
      <t xml:space="preserve">Insira ali o valor das prestações de serviços </t>
    </r>
    <r>
      <rPr>
        <i/>
        <sz val="12"/>
        <color theme="1"/>
        <rFont val="Calibri"/>
        <family val="2"/>
      </rPr>
      <t>→</t>
    </r>
  </si>
  <si>
    <r>
      <t>Insira ali o valor das vendas de mercadorias</t>
    </r>
    <r>
      <rPr>
        <i/>
        <sz val="12"/>
        <color theme="1"/>
        <rFont val="Calibri"/>
        <family val="2"/>
      </rPr>
      <t>→</t>
    </r>
  </si>
  <si>
    <t>Insira ali o valor dos serviços de restauração →</t>
  </si>
  <si>
    <r>
      <rPr>
        <b/>
        <sz val="10"/>
        <color theme="1"/>
        <rFont val="Calibri"/>
        <family val="2"/>
      </rPr>
      <t xml:space="preserve">← </t>
    </r>
    <r>
      <rPr>
        <sz val="10"/>
        <color theme="1"/>
        <rFont val="Calibri"/>
        <family val="2"/>
        <scheme val="minor"/>
      </rPr>
      <t>Valor do IAS 2018</t>
    </r>
  </si>
  <si>
    <r>
      <rPr>
        <i/>
        <sz val="11"/>
        <color theme="1"/>
        <rFont val="Calibri"/>
        <family val="2"/>
      </rPr>
      <t xml:space="preserve">← </t>
    </r>
    <r>
      <rPr>
        <i/>
        <sz val="11"/>
        <color theme="1"/>
        <rFont val="Calibri"/>
        <family val="2"/>
        <scheme val="minor"/>
      </rPr>
      <t>Só pode inserir/alterar dados nas células com esta côr</t>
    </r>
  </si>
  <si>
    <r>
      <t xml:space="preserve">Selecione ali </t>
    </r>
    <r>
      <rPr>
        <sz val="12"/>
        <color theme="1"/>
        <rFont val="Calibri"/>
        <family val="2"/>
      </rPr>
      <t>→</t>
    </r>
  </si>
  <si>
    <t>TI -Trab. Independente</t>
  </si>
  <si>
    <t xml:space="preserve">Tem uma remuneração mensal média da categoria A igual ou superior a </t>
  </si>
  <si>
    <t xml:space="preserve"> ? →</t>
  </si>
  <si>
    <t>não</t>
  </si>
  <si>
    <r>
      <rPr>
        <b/>
        <i/>
        <sz val="11"/>
        <color theme="1"/>
        <rFont val="Calibri"/>
        <family val="2"/>
      </rPr>
      <t xml:space="preserve">← </t>
    </r>
    <r>
      <rPr>
        <b/>
        <i/>
        <sz val="11"/>
        <color theme="1"/>
        <rFont val="Calibri"/>
        <family val="2"/>
        <scheme val="minor"/>
      </rPr>
      <t xml:space="preserve">Escreva ali </t>
    </r>
    <r>
      <rPr>
        <b/>
        <i/>
        <sz val="11"/>
        <color rgb="FF0000FF"/>
        <rFont val="Calibri"/>
        <family val="2"/>
        <scheme val="minor"/>
      </rPr>
      <t xml:space="preserve">sim </t>
    </r>
    <r>
      <rPr>
        <b/>
        <i/>
        <sz val="11"/>
        <color theme="1"/>
        <rFont val="Calibri"/>
        <family val="2"/>
        <scheme val="minor"/>
      </rPr>
      <t xml:space="preserve">ou </t>
    </r>
    <r>
      <rPr>
        <b/>
        <i/>
        <sz val="11"/>
        <color rgb="FF0000FF"/>
        <rFont val="Calibri"/>
        <family val="2"/>
        <scheme val="minor"/>
      </rPr>
      <t>não</t>
    </r>
  </si>
  <si>
    <t xml:space="preserve">Se optar pela fixação de rendimentos </t>
  </si>
  <si>
    <t>→</t>
  </si>
  <si>
    <r>
      <rPr>
        <b/>
        <i/>
        <sz val="11"/>
        <color theme="1"/>
        <rFont val="Calibri"/>
        <family val="2"/>
      </rPr>
      <t xml:space="preserve">← </t>
    </r>
    <r>
      <rPr>
        <b/>
        <i/>
        <sz val="11"/>
        <color theme="1"/>
        <rFont val="Calibri"/>
        <family val="2"/>
        <scheme val="minor"/>
      </rPr>
      <t xml:space="preserve">Escolha ali a percentagem </t>
    </r>
  </si>
  <si>
    <t xml:space="preserve">Com base na declaração Trimestral (Rendimentos Brutos): </t>
  </si>
  <si>
    <t>Com base na declaração Trimestral (Rendimentos Brutos) :</t>
  </si>
  <si>
    <t>ENI - Emp. Nome Indiv.</t>
  </si>
  <si>
    <t>－</t>
  </si>
  <si>
    <t>＋</t>
  </si>
  <si>
    <t>OCC</t>
  </si>
  <si>
    <t xml:space="preserve">sim </t>
  </si>
  <si>
    <t>TI + ENI</t>
  </si>
  <si>
    <t>não C/%</t>
  </si>
  <si>
    <t>sim C/%</t>
  </si>
  <si>
    <t>Com % TI + ENI</t>
  </si>
  <si>
    <r>
      <t xml:space="preserve"> 1.469,00 € + 8.000,00 € = </t>
    </r>
    <r>
      <rPr>
        <sz val="10"/>
        <rFont val="Calibri"/>
        <family val="2"/>
      </rPr>
      <t>→</t>
    </r>
  </si>
  <si>
    <r>
      <t>90.000,00 €</t>
    </r>
    <r>
      <rPr>
        <b/>
        <sz val="14"/>
        <rFont val="Calibri"/>
        <family val="2"/>
        <scheme val="minor"/>
      </rPr>
      <t xml:space="preserve"> </t>
    </r>
    <r>
      <rPr>
        <b/>
        <sz val="14"/>
        <rFont val="Arial Black"/>
        <family val="2"/>
      </rPr>
      <t>ₓ</t>
    </r>
    <r>
      <rPr>
        <sz val="11"/>
        <rFont val="Arial Black"/>
        <family val="2"/>
      </rPr>
      <t xml:space="preserve"> </t>
    </r>
    <r>
      <rPr>
        <sz val="11"/>
        <rFont val="Calibri"/>
        <family val="2"/>
        <scheme val="minor"/>
      </rPr>
      <t xml:space="preserve">0,15-4.104 € </t>
    </r>
    <r>
      <rPr>
        <sz val="10"/>
        <rFont val="Calibri"/>
        <family val="2"/>
      </rPr>
      <t>= →</t>
    </r>
  </si>
  <si>
    <r>
      <t>30.000, 00 €</t>
    </r>
    <r>
      <rPr>
        <b/>
        <sz val="14"/>
        <rFont val="Calibri"/>
        <family val="2"/>
        <scheme val="minor"/>
      </rPr>
      <t xml:space="preserve"> </t>
    </r>
    <r>
      <rPr>
        <b/>
        <sz val="14"/>
        <rFont val="Arial Black"/>
        <family val="2"/>
      </rPr>
      <t>ₓ</t>
    </r>
    <r>
      <rPr>
        <sz val="11"/>
        <rFont val="Arial Black"/>
        <family val="2"/>
      </rPr>
      <t xml:space="preserve"> </t>
    </r>
    <r>
      <rPr>
        <sz val="11"/>
        <rFont val="Calibri"/>
        <family val="2"/>
        <scheme val="minor"/>
      </rPr>
      <t xml:space="preserve">0,15-4.104 € </t>
    </r>
    <r>
      <rPr>
        <sz val="10"/>
        <rFont val="Calibri"/>
        <family val="2"/>
      </rPr>
      <t>= →</t>
    </r>
  </si>
  <si>
    <t xml:space="preserve">
Adicional ao IMI
(Art.º 135.º- I do CIMI)</t>
  </si>
  <si>
    <r>
      <t xml:space="preserve">
Educação 
Os 2 setores podem ir até ao→ máximo de 800€ + 200€ =1000€
</t>
    </r>
    <r>
      <rPr>
        <b/>
        <i/>
        <sz val="12"/>
        <color theme="1"/>
        <rFont val="Arial"/>
        <family val="2"/>
      </rPr>
      <t/>
    </r>
  </si>
  <si>
    <r>
      <t xml:space="preserve">As suas despesas registadas neste setor totalizam </t>
    </r>
    <r>
      <rPr>
        <b/>
        <i/>
        <sz val="12"/>
        <color theme="1"/>
        <rFont val="Calibri"/>
        <family val="2"/>
      </rPr>
      <t>→</t>
    </r>
  </si>
  <si>
    <r>
      <t xml:space="preserve">As suas despesas registadas neste setor totalizam 1.625,33 €, tendo resultado num total de IVA  </t>
    </r>
    <r>
      <rPr>
        <b/>
        <i/>
        <sz val="12"/>
        <color rgb="FFFF0000"/>
        <rFont val="Calibri"/>
        <family val="2"/>
        <scheme val="minor"/>
      </rPr>
      <t xml:space="preserve">a) </t>
    </r>
    <r>
      <rPr>
        <b/>
        <i/>
        <sz val="12"/>
        <color theme="1"/>
        <rFont val="Calibri"/>
        <family val="2"/>
        <scheme val="minor"/>
      </rPr>
      <t>→</t>
    </r>
  </si>
  <si>
    <r>
      <t xml:space="preserve">As suas despesas registadas neste setor totalizam 748,00€, tendo resultado num total de IVA  </t>
    </r>
    <r>
      <rPr>
        <b/>
        <i/>
        <sz val="12"/>
        <color rgb="FFFF0000"/>
        <rFont val="Calibri"/>
        <family val="2"/>
        <scheme val="minor"/>
      </rPr>
      <t>a)</t>
    </r>
    <r>
      <rPr>
        <b/>
        <i/>
        <sz val="12"/>
        <color theme="1"/>
        <rFont val="Calibri"/>
        <family val="2"/>
        <scheme val="minor"/>
      </rPr>
      <t xml:space="preserve"> →</t>
    </r>
  </si>
  <si>
    <r>
      <t xml:space="preserve">As suas despesas registadas neste setor totalizam 306,80 €, tendo resultado num total de IVA </t>
    </r>
    <r>
      <rPr>
        <b/>
        <i/>
        <sz val="14"/>
        <color rgb="FFFF0000"/>
        <rFont val="Calibri"/>
        <family val="2"/>
        <scheme val="minor"/>
      </rPr>
      <t xml:space="preserve">a) </t>
    </r>
    <r>
      <rPr>
        <b/>
        <i/>
        <sz val="14"/>
        <color theme="1"/>
        <rFont val="Calibri"/>
        <family val="2"/>
        <scheme val="minor"/>
      </rPr>
      <t>→</t>
    </r>
  </si>
  <si>
    <r>
      <t xml:space="preserve">As suas despesas registadas neste setor totalizam 623,33€, tendo resultado num total de IVA </t>
    </r>
    <r>
      <rPr>
        <b/>
        <i/>
        <sz val="12"/>
        <color rgb="FFFF0000"/>
        <rFont val="Calibri"/>
        <family val="2"/>
        <scheme val="minor"/>
      </rPr>
      <t xml:space="preserve">a) </t>
    </r>
    <r>
      <rPr>
        <b/>
        <i/>
        <sz val="12"/>
        <color theme="1"/>
        <rFont val="Calibri"/>
        <family val="2"/>
        <scheme val="minor"/>
      </rPr>
      <t>→</t>
    </r>
  </si>
  <si>
    <r>
      <t xml:space="preserve">As suas despesas registadas neste setor totalizam 14,73 €, tendo resultado num total de IVA </t>
    </r>
    <r>
      <rPr>
        <b/>
        <i/>
        <sz val="12"/>
        <color rgb="FFFF0000"/>
        <rFont val="Calibri"/>
        <family val="2"/>
        <scheme val="minor"/>
      </rPr>
      <t xml:space="preserve">a) </t>
    </r>
    <r>
      <rPr>
        <b/>
        <i/>
        <sz val="12"/>
        <color theme="1"/>
        <rFont val="Calibri"/>
        <family val="2"/>
        <scheme val="minor"/>
      </rPr>
      <t>→</t>
    </r>
  </si>
  <si>
    <t xml:space="preserve">
Saúde</t>
  </si>
  <si>
    <r>
      <rPr>
        <b/>
        <sz val="12"/>
        <color rgb="FFFF0000"/>
        <rFont val="Calibri"/>
        <family val="2"/>
        <scheme val="minor"/>
      </rPr>
      <t>Exemplo:</t>
    </r>
    <r>
      <rPr>
        <b/>
        <sz val="11"/>
        <color rgb="FFFF0000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scheme val="minor"/>
      </rPr>
      <t xml:space="preserve">243,83 € + 112,20 € + 46,02 € + 93,50 € + 2,21 €  + 43,20 € = </t>
    </r>
  </si>
  <si>
    <r>
      <t xml:space="preserve">As suas despesas registadas neste setor totalizam 720,00 €, tendo resultado num total de IVA </t>
    </r>
    <r>
      <rPr>
        <b/>
        <i/>
        <sz val="12"/>
        <color rgb="FFFF0000"/>
        <rFont val="Calibri"/>
        <family val="2"/>
        <scheme val="minor"/>
      </rPr>
      <t xml:space="preserve">a) </t>
    </r>
    <r>
      <rPr>
        <b/>
        <i/>
        <sz val="12"/>
        <color theme="1"/>
        <rFont val="Calibri"/>
        <family val="2"/>
        <scheme val="minor"/>
      </rPr>
      <t>→</t>
    </r>
  </si>
  <si>
    <r>
      <t xml:space="preserve">disponibilizando no Portal das Finanças </t>
    </r>
    <r>
      <rPr>
        <b/>
        <i/>
        <sz val="9"/>
        <color rgb="FF0000FF"/>
        <rFont val="Bahnschrift"/>
        <family val="2"/>
      </rPr>
      <t>(até ao dia 15 de março)</t>
    </r>
    <r>
      <rPr>
        <b/>
        <i/>
        <sz val="9"/>
        <rFont val="Bahnschrift"/>
        <family val="2"/>
      </rPr>
      <t xml:space="preserve"> o montante das deduções à coleta apurado.</t>
    </r>
  </si>
  <si>
    <r>
      <t xml:space="preserve">Os contribuintes podem reclamar do cálculo do montante das deduções à coleta efetuado pela AT, </t>
    </r>
    <r>
      <rPr>
        <b/>
        <i/>
        <sz val="9"/>
        <color rgb="FF0000FF"/>
        <rFont val="Bahnschrift"/>
        <family val="2"/>
      </rPr>
      <t>até ao dia 15 de março do ano seguinte ao da emissão</t>
    </r>
    <r>
      <rPr>
        <b/>
        <i/>
        <sz val="9"/>
        <rFont val="Bahnschrift"/>
        <family val="2"/>
      </rPr>
      <t xml:space="preserve"> </t>
    </r>
  </si>
  <si>
    <r>
      <t xml:space="preserve">A Autoridade Tributária (AT) deve colocar o valor das deduções à coleta com base nas faturas que lhe foram comunicadas, </t>
    </r>
    <r>
      <rPr>
        <b/>
        <i/>
        <sz val="9"/>
        <color rgb="FF0000FF"/>
        <rFont val="Bahnschrift"/>
        <family val="2"/>
      </rPr>
      <t>até ao dia 15 de fevereiro</t>
    </r>
    <r>
      <rPr>
        <b/>
        <i/>
        <sz val="9"/>
        <rFont val="Bahnschrift"/>
        <family val="2"/>
      </rPr>
      <t xml:space="preserve"> do ano seguinte ao da sua emissão, </t>
    </r>
  </si>
  <si>
    <t xml:space="preserve">Rendas de habitação permanente pagas ao abrigo do RAU ou do NRAU </t>
  </si>
  <si>
    <t>Juros de dívidas com aquisição de habitação permanente celebrados até 31/12/2011</t>
  </si>
  <si>
    <t>NOTA: As deduções à coleta em sede de IRS, são assumidas automaticamente depois de inserir as despesas no simulador</t>
  </si>
  <si>
    <r>
      <t>Total Rendimento Tributável =</t>
    </r>
    <r>
      <rPr>
        <u/>
        <sz val="10"/>
        <color rgb="FF193755"/>
        <rFont val="Arial"/>
        <family val="2"/>
      </rPr>
      <t> 16.896 €</t>
    </r>
    <r>
      <rPr>
        <sz val="10"/>
        <color rgb="FF193755"/>
        <rFont val="Arial"/>
        <family val="2"/>
      </rPr>
      <t> que corresponde a 56,32%¨¨ do rendimento bruto ¨¨(16.896 € / 30.000 € = 56,32%)</t>
    </r>
  </si>
  <si>
    <r>
      <t>Total Rendimento Tributável =</t>
    </r>
    <r>
      <rPr>
        <u/>
        <sz val="10"/>
        <color rgb="FF193755"/>
        <rFont val="Arial"/>
        <family val="2"/>
      </rPr>
      <t> 47.500 €</t>
    </r>
    <r>
      <rPr>
        <sz val="10"/>
        <color rgb="FF193755"/>
        <rFont val="Arial"/>
        <family val="2"/>
      </rPr>
      <t> que corresponde a 52,78%¨¨ do rendimento bruto ¨¨(47.500 € / 90.000 € = 52,78%)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</si>
</sst>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816]_-;\-* #,##0.00\ [$€-816]_-;_-* &quot;-&quot;??\ [$€-816]_-;_-@_-"/>
    <numFmt numFmtId="165" formatCode="\+0%"/>
  </numFmts>
  <fonts count="12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B0F0"/>
      <name val="Arial"/>
      <family val="2"/>
    </font>
    <font>
      <b/>
      <sz val="10"/>
      <color rgb="FF00B0F0"/>
      <name val="Calibri"/>
      <family val="2"/>
      <scheme val="minor"/>
    </font>
    <font>
      <b/>
      <i/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2060"/>
      <name val="Arial Rounded MT Bold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theme="1"/>
      <name val="Garamond"/>
      <family val="1"/>
    </font>
    <font>
      <b/>
      <sz val="14"/>
      <color theme="1"/>
      <name val="Calibri"/>
      <family val="2"/>
      <scheme val="minor"/>
    </font>
    <font>
      <b/>
      <sz val="12"/>
      <color rgb="FF00B0F0"/>
      <name val="Garamond"/>
      <family val="1"/>
    </font>
    <font>
      <sz val="12"/>
      <color theme="1"/>
      <name val="Garamond"/>
      <family val="1"/>
    </font>
    <font>
      <sz val="12"/>
      <color theme="1"/>
      <name val="Calibri"/>
      <family val="2"/>
      <scheme val="minor"/>
    </font>
    <font>
      <b/>
      <sz val="12"/>
      <color rgb="FF00B0F0"/>
      <name val="Arial Nova Light"/>
      <family val="2"/>
    </font>
    <font>
      <b/>
      <sz val="12"/>
      <color rgb="FF00B0F0"/>
      <name val="Arial"/>
      <family val="2"/>
    </font>
    <font>
      <b/>
      <sz val="20"/>
      <color rgb="FF0000FF"/>
      <name val="Garamond"/>
      <family val="1"/>
    </font>
    <font>
      <b/>
      <sz val="12"/>
      <name val="Arial Rounded MT Bold"/>
      <family val="2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00B0F0"/>
      <name val="Calibri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Arial Black"/>
      <family val="2"/>
    </font>
    <font>
      <sz val="11"/>
      <name val="Arial Black"/>
      <family val="2"/>
    </font>
    <font>
      <sz val="10"/>
      <name val="Calibri"/>
      <family val="2"/>
    </font>
    <font>
      <sz val="10"/>
      <color rgb="FFFF0000"/>
      <name val="Calibri"/>
      <family val="2"/>
    </font>
    <font>
      <sz val="9"/>
      <color theme="1"/>
      <name val="Calibri"/>
      <family val="2"/>
    </font>
    <font>
      <sz val="5"/>
      <color theme="1"/>
      <name val="Arial"/>
      <family val="2"/>
    </font>
    <font>
      <b/>
      <sz val="11"/>
      <color rgb="FF002060"/>
      <name val="Calibri"/>
      <family val="2"/>
    </font>
    <font>
      <b/>
      <sz val="11"/>
      <color rgb="FF00B0F0"/>
      <name val="Calibri"/>
      <family val="2"/>
      <scheme val="minor"/>
    </font>
    <font>
      <b/>
      <sz val="11"/>
      <color rgb="FF00B0F0"/>
      <name val="Calibri"/>
      <family val="2"/>
    </font>
    <font>
      <b/>
      <sz val="11"/>
      <color rgb="FFC00000"/>
      <name val="Georgia"/>
      <family val="1"/>
    </font>
    <font>
      <b/>
      <sz val="12"/>
      <color rgb="FF0000FF"/>
      <name val="Garamond"/>
      <family val="1"/>
    </font>
    <font>
      <b/>
      <sz val="11"/>
      <color theme="1"/>
      <name val="Arial Nova"/>
      <family val="2"/>
    </font>
    <font>
      <sz val="10"/>
      <color theme="1"/>
      <name val="Garamond"/>
      <family val="1"/>
    </font>
    <font>
      <b/>
      <sz val="10"/>
      <color theme="1"/>
      <name val="Calibri"/>
      <family val="2"/>
    </font>
    <font>
      <b/>
      <i/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name val="Garamond"/>
      <family val="1"/>
    </font>
    <font>
      <sz val="8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2060"/>
      <name val="Arial Black"/>
      <family val="2"/>
    </font>
    <font>
      <b/>
      <sz val="11"/>
      <color theme="1"/>
      <name val="Calibri"/>
      <family val="2"/>
    </font>
    <font>
      <b/>
      <sz val="9"/>
      <color rgb="FF0000FF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Arial Black"/>
      <family val="2"/>
    </font>
    <font>
      <b/>
      <sz val="10"/>
      <color rgb="FF00B0F0"/>
      <name val="Calibri"/>
      <family val="2"/>
    </font>
    <font>
      <b/>
      <sz val="11"/>
      <color rgb="FF0000FF"/>
      <name val="Calibri"/>
      <family val="2"/>
    </font>
    <font>
      <sz val="11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4"/>
      <color rgb="FFFF0000"/>
      <name val="Arial Black"/>
      <family val="2"/>
    </font>
    <font>
      <b/>
      <sz val="8"/>
      <color rgb="FFFF0000"/>
      <name val="Tahoma"/>
      <family val="2"/>
    </font>
    <font>
      <b/>
      <sz val="11"/>
      <name val="Calibri"/>
      <family val="2"/>
    </font>
    <font>
      <sz val="14"/>
      <color rgb="FF0000FF"/>
      <name val="Calibri"/>
      <family val="2"/>
      <scheme val="minor"/>
    </font>
    <font>
      <sz val="10"/>
      <color theme="1"/>
      <name val="Calibri"/>
      <family val="2"/>
    </font>
    <font>
      <sz val="13"/>
      <color rgb="FF0000FF"/>
      <name val="Calibri"/>
      <family val="2"/>
      <scheme val="minor"/>
    </font>
    <font>
      <b/>
      <i/>
      <sz val="9"/>
      <color rgb="FF0000FF"/>
      <name val="Calibri"/>
      <family val="2"/>
      <scheme val="minor"/>
    </font>
    <font>
      <b/>
      <sz val="12"/>
      <color rgb="FFFF0000"/>
      <name val="Garamond"/>
      <family val="1"/>
    </font>
    <font>
      <sz val="12"/>
      <color theme="1"/>
      <name val="Calibri"/>
      <family val="2"/>
    </font>
    <font>
      <b/>
      <u/>
      <sz val="11"/>
      <color rgb="FFC00000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i/>
      <sz val="10"/>
      <color rgb="FF00B050"/>
      <name val="Calibri"/>
      <family val="2"/>
    </font>
    <font>
      <b/>
      <i/>
      <sz val="12"/>
      <color theme="1"/>
      <name val="Calibri"/>
      <family val="2"/>
    </font>
    <font>
      <b/>
      <i/>
      <sz val="10"/>
      <color rgb="FF00B050"/>
      <name val="Calibri"/>
      <family val="2"/>
      <scheme val="minor"/>
    </font>
    <font>
      <b/>
      <sz val="8"/>
      <name val="Tahoma"/>
      <family val="2"/>
    </font>
    <font>
      <b/>
      <i/>
      <sz val="9"/>
      <color rgb="FF00B050"/>
      <name val="Calibri"/>
      <family val="2"/>
      <scheme val="minor"/>
    </font>
    <font>
      <sz val="10"/>
      <color rgb="FF00B0F0"/>
      <name val="Garamond"/>
      <family val="1"/>
    </font>
    <font>
      <b/>
      <sz val="10"/>
      <name val="Calibri"/>
      <family val="2"/>
    </font>
    <font>
      <b/>
      <sz val="14"/>
      <color rgb="FF0000FF"/>
      <name val="Garamond"/>
      <family val="1"/>
    </font>
    <font>
      <b/>
      <sz val="11"/>
      <color theme="1"/>
      <name val="Arial"/>
      <family val="2"/>
    </font>
    <font>
      <b/>
      <sz val="14"/>
      <name val="Arial Rounded MT Bold"/>
      <family val="2"/>
    </font>
    <font>
      <b/>
      <sz val="10"/>
      <color theme="0"/>
      <name val="Calibri"/>
      <family val="2"/>
      <scheme val="minor"/>
    </font>
    <font>
      <b/>
      <sz val="10"/>
      <color theme="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u/>
      <sz val="12"/>
      <name val="Calibri"/>
      <family val="2"/>
      <scheme val="minor"/>
    </font>
    <font>
      <b/>
      <i/>
      <sz val="12"/>
      <color rgb="FF002060"/>
      <name val="Arial Nova"/>
      <family val="2"/>
    </font>
    <font>
      <b/>
      <sz val="12"/>
      <color rgb="FF002060"/>
      <name val="Calibri"/>
      <family val="2"/>
    </font>
    <font>
      <b/>
      <sz val="11"/>
      <color rgb="FF002060"/>
      <name val="Arial Nova"/>
      <family val="2"/>
    </font>
    <font>
      <b/>
      <i/>
      <sz val="9"/>
      <color rgb="FF002060"/>
      <name val="Arial Nova"/>
      <family val="2"/>
    </font>
    <font>
      <b/>
      <i/>
      <sz val="9"/>
      <color rgb="FF002060"/>
      <name val="Arial"/>
      <family val="2"/>
    </font>
    <font>
      <b/>
      <sz val="13.5"/>
      <name val="Arial"/>
      <family val="2"/>
    </font>
    <font>
      <b/>
      <sz val="10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1"/>
      <name val="Calibri"/>
      <family val="2"/>
    </font>
    <font>
      <b/>
      <sz val="9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i/>
      <sz val="12"/>
      <name val="Calibri"/>
      <family val="2"/>
      <scheme val="minor"/>
    </font>
    <font>
      <b/>
      <sz val="9"/>
      <color rgb="FF0000FF"/>
      <name val="Arial"/>
      <family val="2"/>
    </font>
    <font>
      <b/>
      <i/>
      <sz val="11.5"/>
      <name val="Calibri"/>
      <family val="2"/>
      <scheme val="minor"/>
    </font>
    <font>
      <b/>
      <sz val="11.5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FF"/>
      <name val="Arial Black"/>
      <family val="2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b/>
      <i/>
      <sz val="11"/>
      <color rgb="FF0000FF"/>
      <name val="Calibri"/>
      <family val="2"/>
      <scheme val="minor"/>
    </font>
    <font>
      <b/>
      <sz val="9"/>
      <color rgb="FF0000FF"/>
      <name val="Arial Black"/>
      <family val="2"/>
    </font>
    <font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 Black"/>
      <family val="2"/>
    </font>
    <font>
      <b/>
      <i/>
      <sz val="9"/>
      <name val="Bahnschrift"/>
      <family val="2"/>
    </font>
    <font>
      <b/>
      <i/>
      <sz val="9"/>
      <color rgb="FF0000FF"/>
      <name val="Bahnschrift"/>
      <family val="2"/>
    </font>
    <font>
      <b/>
      <sz val="11"/>
      <color rgb="FF0000FF"/>
      <name val="Arial Rounded MT Bold"/>
      <family val="2"/>
    </font>
    <font>
      <u/>
      <sz val="10"/>
      <color rgb="FF193755"/>
      <name val="Arial"/>
      <family val="2"/>
    </font>
    <font>
      <sz val="10"/>
      <color rgb="FF193755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double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44" fontId="88" fillId="0" borderId="0" applyFont="0" applyFill="0" applyBorder="0" applyAlignment="0" applyProtection="0"/>
    <xf numFmtId="9" fontId="88" fillId="0" borderId="0" applyFont="0" applyFill="0" applyBorder="0" applyAlignment="0" applyProtection="0"/>
  </cellStyleXfs>
  <cellXfs count="36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5" fillId="0" borderId="0" xfId="0" applyFont="1" applyBorder="1"/>
    <xf numFmtId="0" fontId="1" fillId="0" borderId="0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64" fontId="0" fillId="0" borderId="0" xfId="0" applyNumberFormat="1" applyBorder="1"/>
    <xf numFmtId="0" fontId="12" fillId="0" borderId="0" xfId="0" applyFont="1" applyBorder="1"/>
    <xf numFmtId="0" fontId="7" fillId="0" borderId="2" xfId="0" applyFont="1" applyBorder="1"/>
    <xf numFmtId="164" fontId="12" fillId="0" borderId="0" xfId="0" applyNumberFormat="1" applyFont="1" applyBorder="1" applyAlignment="1"/>
    <xf numFmtId="0" fontId="33" fillId="0" borderId="2" xfId="0" applyFont="1" applyBorder="1" applyAlignment="1">
      <alignment horizontal="right"/>
    </xf>
    <xf numFmtId="0" fontId="40" fillId="0" borderId="0" xfId="0" applyFont="1" applyBorder="1" applyAlignment="1">
      <alignment vertical="center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2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1" fillId="0" borderId="6" xfId="0" applyFont="1" applyBorder="1" applyAlignment="1"/>
    <xf numFmtId="0" fontId="31" fillId="0" borderId="7" xfId="0" applyFont="1" applyBorder="1" applyAlignment="1"/>
    <xf numFmtId="0" fontId="41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0" fillId="0" borderId="0" xfId="0" applyFont="1" applyBorder="1" applyAlignment="1"/>
    <xf numFmtId="164" fontId="0" fillId="0" borderId="0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left"/>
    </xf>
    <xf numFmtId="0" fontId="27" fillId="0" borderId="2" xfId="0" applyFont="1" applyBorder="1"/>
    <xf numFmtId="0" fontId="26" fillId="0" borderId="2" xfId="0" applyFont="1" applyBorder="1"/>
    <xf numFmtId="0" fontId="40" fillId="0" borderId="2" xfId="0" applyFon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43" fillId="0" borderId="0" xfId="0" applyFont="1" applyBorder="1" applyAlignment="1"/>
    <xf numFmtId="0" fontId="45" fillId="0" borderId="2" xfId="0" applyFont="1" applyBorder="1" applyAlignment="1">
      <alignment vertical="center"/>
    </xf>
    <xf numFmtId="0" fontId="46" fillId="0" borderId="2" xfId="0" applyFont="1" applyBorder="1" applyAlignment="1">
      <alignment vertical="center"/>
    </xf>
    <xf numFmtId="0" fontId="47" fillId="0" borderId="2" xfId="0" applyFont="1" applyBorder="1"/>
    <xf numFmtId="0" fontId="0" fillId="2" borderId="0" xfId="0" applyFill="1" applyBorder="1" applyAlignment="1">
      <alignment horizontal="right" vertical="center"/>
    </xf>
    <xf numFmtId="0" fontId="1" fillId="0" borderId="0" xfId="0" applyFont="1" applyBorder="1" applyAlignment="1">
      <alignment vertical="top" wrapText="1"/>
    </xf>
    <xf numFmtId="0" fontId="55" fillId="0" borderId="0" xfId="0" applyFont="1" applyAlignment="1"/>
    <xf numFmtId="0" fontId="12" fillId="2" borderId="0" xfId="0" applyFont="1" applyFill="1" applyAlignment="1"/>
    <xf numFmtId="0" fontId="7" fillId="2" borderId="0" xfId="0" applyFont="1" applyFill="1" applyAlignment="1"/>
    <xf numFmtId="0" fontId="47" fillId="0" borderId="6" xfId="0" applyFont="1" applyBorder="1"/>
    <xf numFmtId="0" fontId="12" fillId="0" borderId="7" xfId="0" applyFont="1" applyBorder="1"/>
    <xf numFmtId="0" fontId="60" fillId="0" borderId="0" xfId="0" applyFont="1" applyBorder="1"/>
    <xf numFmtId="164" fontId="0" fillId="6" borderId="1" xfId="0" applyNumberFormat="1" applyFill="1" applyBorder="1" applyAlignment="1">
      <alignment vertical="center"/>
    </xf>
    <xf numFmtId="8" fontId="30" fillId="3" borderId="10" xfId="0" applyNumberFormat="1" applyFont="1" applyFill="1" applyBorder="1" applyAlignment="1"/>
    <xf numFmtId="164" fontId="30" fillId="3" borderId="10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vertical="center"/>
    </xf>
    <xf numFmtId="164" fontId="63" fillId="0" borderId="0" xfId="0" applyNumberFormat="1" applyFont="1" applyBorder="1" applyAlignment="1">
      <alignment horizontal="center" vertical="center"/>
    </xf>
    <xf numFmtId="164" fontId="63" fillId="2" borderId="1" xfId="0" applyNumberFormat="1" applyFont="1" applyFill="1" applyBorder="1" applyAlignment="1"/>
    <xf numFmtId="164" fontId="12" fillId="3" borderId="16" xfId="0" applyNumberFormat="1" applyFont="1" applyFill="1" applyBorder="1"/>
    <xf numFmtId="0" fontId="22" fillId="0" borderId="0" xfId="0" applyFont="1" applyBorder="1" applyAlignment="1"/>
    <xf numFmtId="0" fontId="34" fillId="0" borderId="0" xfId="0" applyFont="1" applyBorder="1" applyAlignment="1">
      <alignment horizontal="left" wrapText="1"/>
    </xf>
    <xf numFmtId="0" fontId="0" fillId="0" borderId="0" xfId="0" applyBorder="1" applyAlignment="1">
      <alignment vertical="top"/>
    </xf>
    <xf numFmtId="0" fontId="1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 horizontal="right" vertical="center"/>
    </xf>
    <xf numFmtId="0" fontId="34" fillId="0" borderId="0" xfId="0" applyFont="1" applyBorder="1"/>
    <xf numFmtId="0" fontId="68" fillId="0" borderId="0" xfId="0" applyFont="1" applyBorder="1" applyAlignment="1">
      <alignment vertical="center"/>
    </xf>
    <xf numFmtId="0" fontId="7" fillId="2" borderId="0" xfId="0" applyFont="1" applyFill="1" applyAlignment="1" applyProtection="1">
      <protection locked="0"/>
    </xf>
    <xf numFmtId="0" fontId="22" fillId="0" borderId="0" xfId="0" applyFont="1" applyBorder="1" applyAlignment="1" applyProtection="1"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Protection="1">
      <protection locked="0"/>
    </xf>
    <xf numFmtId="0" fontId="0" fillId="0" borderId="4" xfId="0" applyBorder="1" applyProtection="1">
      <protection locked="0"/>
    </xf>
    <xf numFmtId="0" fontId="58" fillId="0" borderId="2" xfId="0" applyFont="1" applyBorder="1" applyAlignment="1" applyProtection="1">
      <alignment vertical="center"/>
      <protection locked="0"/>
    </xf>
    <xf numFmtId="0" fontId="1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76" fillId="0" borderId="2" xfId="0" applyFont="1" applyBorder="1" applyAlignment="1" applyProtection="1">
      <alignment vertical="center"/>
      <protection locked="0"/>
    </xf>
    <xf numFmtId="0" fontId="77" fillId="0" borderId="0" xfId="0" applyFont="1" applyBorder="1" applyProtection="1">
      <protection locked="0"/>
    </xf>
    <xf numFmtId="0" fontId="56" fillId="0" borderId="0" xfId="0" applyFont="1" applyBorder="1" applyAlignment="1" applyProtection="1">
      <protection locked="0"/>
    </xf>
    <xf numFmtId="0" fontId="57" fillId="0" borderId="0" xfId="0" applyFont="1" applyBorder="1" applyAlignment="1" applyProtection="1">
      <protection locked="0"/>
    </xf>
    <xf numFmtId="0" fontId="76" fillId="0" borderId="6" xfId="0" applyFont="1" applyBorder="1" applyProtection="1">
      <protection locked="0"/>
    </xf>
    <xf numFmtId="0" fontId="77" fillId="0" borderId="7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78" fillId="0" borderId="2" xfId="0" applyFont="1" applyBorder="1" applyAlignment="1" applyProtection="1">
      <alignment vertical="center"/>
      <protection locked="0"/>
    </xf>
    <xf numFmtId="0" fontId="72" fillId="0" borderId="2" xfId="0" applyFont="1" applyBorder="1" applyAlignment="1" applyProtection="1">
      <alignment vertical="center"/>
      <protection locked="0"/>
    </xf>
    <xf numFmtId="0" fontId="18" fillId="0" borderId="0" xfId="0" applyFont="1" applyBorder="1" applyProtection="1">
      <protection locked="0"/>
    </xf>
    <xf numFmtId="0" fontId="71" fillId="0" borderId="2" xfId="0" applyFont="1" applyBorder="1" applyAlignment="1" applyProtection="1">
      <alignment horizontal="left"/>
      <protection locked="0"/>
    </xf>
    <xf numFmtId="0" fontId="15" fillId="0" borderId="4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4" fillId="0" borderId="7" xfId="0" applyFont="1" applyBorder="1" applyProtection="1">
      <protection locked="0"/>
    </xf>
    <xf numFmtId="0" fontId="21" fillId="0" borderId="7" xfId="0" applyFont="1" applyBorder="1" applyProtection="1"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2" xfId="0" applyFont="1" applyBorder="1" applyAlignment="1" applyProtection="1">
      <alignment vertical="center"/>
      <protection locked="0"/>
    </xf>
    <xf numFmtId="0" fontId="17" fillId="0" borderId="7" xfId="0" applyFont="1" applyBorder="1" applyProtection="1">
      <protection locked="0"/>
    </xf>
    <xf numFmtId="0" fontId="52" fillId="0" borderId="0" xfId="0" applyFont="1" applyBorder="1" applyAlignment="1" applyProtection="1">
      <alignment vertical="center"/>
      <protection locked="0"/>
    </xf>
    <xf numFmtId="0" fontId="53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21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50" fillId="0" borderId="6" xfId="0" applyFont="1" applyBorder="1" applyAlignment="1" applyProtection="1">
      <alignment vertical="center"/>
      <protection locked="0"/>
    </xf>
    <xf numFmtId="0" fontId="17" fillId="0" borderId="7" xfId="0" applyFont="1" applyBorder="1" applyAlignment="1" applyProtection="1">
      <alignment vertical="center"/>
      <protection locked="0"/>
    </xf>
    <xf numFmtId="0" fontId="21" fillId="0" borderId="7" xfId="0" applyFont="1" applyBorder="1" applyAlignment="1" applyProtection="1">
      <alignment vertical="center"/>
      <protection locked="0"/>
    </xf>
    <xf numFmtId="0" fontId="56" fillId="0" borderId="7" xfId="0" applyFont="1" applyBorder="1" applyAlignment="1" applyProtection="1">
      <alignment horizontal="center" vertical="center"/>
      <protection locked="0"/>
    </xf>
    <xf numFmtId="0" fontId="0" fillId="0" borderId="7" xfId="0" applyBorder="1" applyProtection="1">
      <protection locked="0"/>
    </xf>
    <xf numFmtId="0" fontId="1" fillId="0" borderId="7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56" fillId="0" borderId="0" xfId="0" applyFont="1" applyBorder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0" fontId="57" fillId="0" borderId="0" xfId="0" applyFont="1" applyBorder="1" applyAlignment="1" applyProtection="1">
      <alignment vertical="center"/>
      <protection locked="0"/>
    </xf>
    <xf numFmtId="0" fontId="80" fillId="0" borderId="2" xfId="0" applyFont="1" applyBorder="1" applyAlignment="1" applyProtection="1">
      <alignment vertical="center"/>
      <protection locked="0"/>
    </xf>
    <xf numFmtId="0" fontId="57" fillId="0" borderId="7" xfId="0" applyFont="1" applyBorder="1" applyAlignment="1" applyProtection="1">
      <alignment horizontal="center" vertical="center"/>
      <protection locked="0"/>
    </xf>
    <xf numFmtId="0" fontId="54" fillId="0" borderId="3" xfId="0" applyFont="1" applyBorder="1" applyAlignment="1" applyProtection="1">
      <alignment vertical="center"/>
      <protection locked="0"/>
    </xf>
    <xf numFmtId="0" fontId="58" fillId="0" borderId="0" xfId="0" applyFont="1" applyBorder="1" applyAlignment="1" applyProtection="1">
      <alignment vertical="center"/>
      <protection locked="0"/>
    </xf>
    <xf numFmtId="0" fontId="83" fillId="0" borderId="0" xfId="0" applyFont="1" applyBorder="1" applyAlignment="1" applyProtection="1">
      <protection locked="0"/>
    </xf>
    <xf numFmtId="0" fontId="1" fillId="0" borderId="0" xfId="0" applyFont="1" applyBorder="1"/>
    <xf numFmtId="0" fontId="69" fillId="0" borderId="0" xfId="0" applyFont="1" applyBorder="1"/>
    <xf numFmtId="0" fontId="19" fillId="0" borderId="0" xfId="0" applyFont="1" applyBorder="1"/>
    <xf numFmtId="0" fontId="9" fillId="0" borderId="0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70" fillId="0" borderId="0" xfId="0" applyFont="1" applyBorder="1" applyAlignment="1"/>
    <xf numFmtId="0" fontId="11" fillId="0" borderId="20" xfId="0" applyFont="1" applyBorder="1" applyAlignment="1" applyProtection="1">
      <alignment vertical="center"/>
      <protection locked="0"/>
    </xf>
    <xf numFmtId="0" fontId="1" fillId="0" borderId="21" xfId="0" applyFont="1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8" fontId="51" fillId="3" borderId="24" xfId="0" applyNumberFormat="1" applyFont="1" applyFill="1" applyBorder="1" applyAlignment="1" applyProtection="1">
      <alignment vertical="center"/>
      <protection locked="0"/>
    </xf>
    <xf numFmtId="0" fontId="56" fillId="0" borderId="25" xfId="0" applyFont="1" applyBorder="1" applyAlignment="1" applyProtection="1">
      <alignment horizontal="center" vertical="center"/>
      <protection locked="0"/>
    </xf>
    <xf numFmtId="0" fontId="57" fillId="0" borderId="26" xfId="0" applyFont="1" applyBorder="1" applyAlignment="1" applyProtection="1">
      <alignment horizontal="left"/>
      <protection locked="0"/>
    </xf>
    <xf numFmtId="0" fontId="0" fillId="0" borderId="26" xfId="0" applyBorder="1" applyProtection="1">
      <protection locked="0"/>
    </xf>
    <xf numFmtId="0" fontId="1" fillId="0" borderId="29" xfId="0" applyFont="1" applyBorder="1" applyProtection="1">
      <protection locked="0"/>
    </xf>
    <xf numFmtId="0" fontId="1" fillId="0" borderId="29" xfId="0" applyFont="1" applyBorder="1" applyAlignment="1" applyProtection="1">
      <alignment vertical="top" wrapText="1"/>
      <protection locked="0"/>
    </xf>
    <xf numFmtId="0" fontId="1" fillId="0" borderId="26" xfId="0" applyFont="1" applyBorder="1" applyProtection="1">
      <protection locked="0"/>
    </xf>
    <xf numFmtId="0" fontId="5" fillId="0" borderId="30" xfId="0" applyFont="1" applyBorder="1" applyProtection="1">
      <protection locked="0"/>
    </xf>
    <xf numFmtId="0" fontId="1" fillId="0" borderId="29" xfId="0" applyFont="1" applyBorder="1" applyAlignment="1" applyProtection="1">
      <alignment vertical="center"/>
      <protection locked="0"/>
    </xf>
    <xf numFmtId="0" fontId="5" fillId="0" borderId="26" xfId="0" applyFont="1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58" fillId="0" borderId="26" xfId="0" applyFont="1" applyBorder="1" applyAlignment="1" applyProtection="1">
      <alignment vertical="center"/>
      <protection locked="0"/>
    </xf>
    <xf numFmtId="0" fontId="11" fillId="0" borderId="1" xfId="0" applyFont="1" applyBorder="1" applyAlignment="1">
      <alignment horizontal="center" vertical="center"/>
    </xf>
    <xf numFmtId="164" fontId="12" fillId="3" borderId="10" xfId="0" applyNumberFormat="1" applyFont="1" applyFill="1" applyBorder="1"/>
    <xf numFmtId="0" fontId="0" fillId="0" borderId="8" xfId="0" applyBorder="1"/>
    <xf numFmtId="0" fontId="11" fillId="0" borderId="5" xfId="0" applyFont="1" applyBorder="1" applyAlignment="1">
      <alignment vertical="center"/>
    </xf>
    <xf numFmtId="0" fontId="0" fillId="0" borderId="35" xfId="0" applyBorder="1"/>
    <xf numFmtId="0" fontId="31" fillId="0" borderId="36" xfId="0" applyFont="1" applyBorder="1" applyAlignment="1"/>
    <xf numFmtId="164" fontId="64" fillId="3" borderId="14" xfId="0" applyNumberFormat="1" applyFont="1" applyFill="1" applyBorder="1" applyAlignment="1"/>
    <xf numFmtId="0" fontId="65" fillId="8" borderId="2" xfId="0" applyFont="1" applyFill="1" applyBorder="1" applyAlignment="1">
      <alignment vertical="center"/>
    </xf>
    <xf numFmtId="0" fontId="11" fillId="8" borderId="0" xfId="0" applyFont="1" applyFill="1" applyBorder="1" applyAlignment="1">
      <alignment vertical="center"/>
    </xf>
    <xf numFmtId="0" fontId="65" fillId="8" borderId="3" xfId="0" applyFont="1" applyFill="1" applyBorder="1" applyAlignment="1">
      <alignment vertical="center"/>
    </xf>
    <xf numFmtId="0" fontId="11" fillId="8" borderId="4" xfId="0" applyFont="1" applyFill="1" applyBorder="1" applyAlignment="1">
      <alignment vertical="center"/>
    </xf>
    <xf numFmtId="164" fontId="12" fillId="3" borderId="37" xfId="0" applyNumberFormat="1" applyFont="1" applyFill="1" applyBorder="1"/>
    <xf numFmtId="0" fontId="40" fillId="0" borderId="0" xfId="0" applyFont="1" applyFill="1" applyBorder="1" applyAlignment="1">
      <alignment vertical="center"/>
    </xf>
    <xf numFmtId="0" fontId="0" fillId="0" borderId="3" xfId="0" applyBorder="1"/>
    <xf numFmtId="0" fontId="0" fillId="0" borderId="4" xfId="0" applyBorder="1"/>
    <xf numFmtId="164" fontId="11" fillId="0" borderId="39" xfId="0" applyNumberFormat="1" applyFont="1" applyBorder="1" applyAlignment="1">
      <alignment vertical="center"/>
    </xf>
    <xf numFmtId="0" fontId="86" fillId="9" borderId="9" xfId="0" applyFont="1" applyFill="1" applyBorder="1" applyAlignment="1">
      <alignment horizontal="left" vertical="center"/>
    </xf>
    <xf numFmtId="0" fontId="86" fillId="9" borderId="9" xfId="0" applyFont="1" applyFill="1" applyBorder="1" applyAlignment="1">
      <alignment vertical="center"/>
    </xf>
    <xf numFmtId="0" fontId="34" fillId="0" borderId="43" xfId="0" applyFont="1" applyBorder="1"/>
    <xf numFmtId="0" fontId="34" fillId="0" borderId="44" xfId="0" applyFont="1" applyBorder="1" applyAlignment="1"/>
    <xf numFmtId="0" fontId="0" fillId="0" borderId="45" xfId="0" applyBorder="1"/>
    <xf numFmtId="0" fontId="95" fillId="0" borderId="0" xfId="0" applyFont="1" applyBorder="1" applyAlignment="1">
      <alignment horizontal="right" vertical="center"/>
    </xf>
    <xf numFmtId="0" fontId="98" fillId="0" borderId="42" xfId="0" applyFont="1" applyBorder="1" applyAlignment="1">
      <alignment horizontal="center" vertical="center" wrapText="1"/>
    </xf>
    <xf numFmtId="0" fontId="98" fillId="0" borderId="0" xfId="0" applyFont="1" applyBorder="1" applyAlignment="1">
      <alignment horizontal="center" vertical="center" wrapText="1"/>
    </xf>
    <xf numFmtId="164" fontId="34" fillId="0" borderId="0" xfId="0" applyNumberFormat="1" applyFont="1" applyBorder="1"/>
    <xf numFmtId="164" fontId="34" fillId="0" borderId="0" xfId="0" applyNumberFormat="1" applyFont="1"/>
    <xf numFmtId="0" fontId="0" fillId="0" borderId="26" xfId="0" applyBorder="1"/>
    <xf numFmtId="0" fontId="34" fillId="0" borderId="42" xfId="0" applyFont="1" applyBorder="1"/>
    <xf numFmtId="0" fontId="34" fillId="0" borderId="0" xfId="0" applyFont="1"/>
    <xf numFmtId="17" fontId="99" fillId="10" borderId="46" xfId="0" applyNumberFormat="1" applyFont="1" applyFill="1" applyBorder="1" applyAlignment="1" applyProtection="1">
      <alignment horizontal="center" vertical="center" wrapText="1"/>
      <protection locked="0"/>
    </xf>
    <xf numFmtId="0" fontId="101" fillId="0" borderId="15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4" fontId="12" fillId="8" borderId="46" xfId="0" applyNumberFormat="1" applyFont="1" applyFill="1" applyBorder="1" applyAlignment="1" applyProtection="1">
      <alignment horizontal="left" vertical="center"/>
      <protection locked="0"/>
    </xf>
    <xf numFmtId="9" fontId="27" fillId="0" borderId="0" xfId="0" applyNumberFormat="1" applyFont="1" applyBorder="1"/>
    <xf numFmtId="164" fontId="34" fillId="0" borderId="42" xfId="0" applyNumberFormat="1" applyFont="1" applyBorder="1"/>
    <xf numFmtId="0" fontId="103" fillId="0" borderId="0" xfId="0" applyFont="1" applyBorder="1" applyAlignment="1">
      <alignment horizontal="center" wrapText="1"/>
    </xf>
    <xf numFmtId="164" fontId="12" fillId="10" borderId="46" xfId="0" applyNumberFormat="1" applyFont="1" applyFill="1" applyBorder="1" applyAlignment="1" applyProtection="1">
      <alignment horizontal="left" vertical="center"/>
      <protection locked="0"/>
    </xf>
    <xf numFmtId="164" fontId="0" fillId="8" borderId="46" xfId="0" applyNumberFormat="1" applyFont="1" applyFill="1" applyBorder="1" applyProtection="1">
      <protection locked="0"/>
    </xf>
    <xf numFmtId="0" fontId="13" fillId="0" borderId="2" xfId="0" applyFont="1" applyBorder="1" applyAlignment="1">
      <alignment horizontal="left" vertical="center"/>
    </xf>
    <xf numFmtId="0" fontId="104" fillId="0" borderId="0" xfId="0" applyFont="1" applyBorder="1" applyAlignment="1">
      <alignment vertical="center"/>
    </xf>
    <xf numFmtId="164" fontId="0" fillId="0" borderId="46" xfId="0" applyNumberFormat="1" applyBorder="1"/>
    <xf numFmtId="164" fontId="107" fillId="10" borderId="46" xfId="0" applyNumberFormat="1" applyFont="1" applyFill="1" applyBorder="1" applyAlignment="1" applyProtection="1">
      <alignment horizontal="center" vertical="center"/>
      <protection locked="0"/>
    </xf>
    <xf numFmtId="10" fontId="0" fillId="0" borderId="0" xfId="0" applyNumberFormat="1" applyBorder="1"/>
    <xf numFmtId="164" fontId="108" fillId="0" borderId="0" xfId="0" applyNumberFormat="1" applyFont="1" applyBorder="1" applyAlignment="1">
      <alignment horizontal="left" vertical="center"/>
    </xf>
    <xf numFmtId="0" fontId="109" fillId="0" borderId="0" xfId="0" applyFont="1" applyBorder="1" applyAlignment="1">
      <alignment horizontal="left" vertical="center"/>
    </xf>
    <xf numFmtId="0" fontId="110" fillId="0" borderId="1" xfId="0" applyFont="1" applyBorder="1" applyAlignment="1">
      <alignment horizontal="right"/>
    </xf>
    <xf numFmtId="164" fontId="111" fillId="10" borderId="46" xfId="0" applyNumberFormat="1" applyFont="1" applyFill="1" applyBorder="1" applyAlignment="1" applyProtection="1">
      <alignment horizontal="center" vertical="center"/>
      <protection locked="0"/>
    </xf>
    <xf numFmtId="0" fontId="112" fillId="0" borderId="2" xfId="0" applyFont="1" applyBorder="1" applyAlignment="1">
      <alignment horizontal="left" vertical="center"/>
    </xf>
    <xf numFmtId="0" fontId="109" fillId="0" borderId="0" xfId="0" applyFont="1" applyBorder="1" applyAlignment="1">
      <alignment horizontal="right"/>
    </xf>
    <xf numFmtId="0" fontId="100" fillId="0" borderId="1" xfId="0" applyFont="1" applyBorder="1" applyAlignment="1">
      <alignment horizontal="center" vertical="center"/>
    </xf>
    <xf numFmtId="10" fontId="115" fillId="8" borderId="46" xfId="0" applyNumberFormat="1" applyFont="1" applyFill="1" applyBorder="1" applyAlignment="1" applyProtection="1">
      <alignment horizontal="center" vertical="center"/>
      <protection locked="0"/>
    </xf>
    <xf numFmtId="0" fontId="112" fillId="0" borderId="0" xfId="0" applyFont="1" applyBorder="1"/>
    <xf numFmtId="0" fontId="99" fillId="0" borderId="42" xfId="0" applyFont="1" applyBorder="1" applyAlignment="1">
      <alignment horizontal="right"/>
    </xf>
    <xf numFmtId="0" fontId="99" fillId="0" borderId="0" xfId="0" applyFont="1" applyBorder="1" applyAlignment="1">
      <alignment horizontal="right"/>
    </xf>
    <xf numFmtId="0" fontId="99" fillId="0" borderId="0" xfId="0" applyFont="1" applyBorder="1" applyAlignment="1">
      <alignment horizontal="center" vertical="center"/>
    </xf>
    <xf numFmtId="0" fontId="116" fillId="0" borderId="0" xfId="0" applyFont="1" applyBorder="1"/>
    <xf numFmtId="164" fontId="10" fillId="0" borderId="0" xfId="0" applyNumberFormat="1" applyFont="1" applyBorder="1"/>
    <xf numFmtId="0" fontId="106" fillId="0" borderId="0" xfId="0" applyFont="1" applyBorder="1" applyAlignment="1">
      <alignment horizontal="left"/>
    </xf>
    <xf numFmtId="0" fontId="24" fillId="0" borderId="0" xfId="0" applyFont="1" applyBorder="1"/>
    <xf numFmtId="0" fontId="24" fillId="0" borderId="0" xfId="0" applyFont="1"/>
    <xf numFmtId="164" fontId="10" fillId="0" borderId="0" xfId="0" applyNumberFormat="1" applyFont="1"/>
    <xf numFmtId="0" fontId="106" fillId="0" borderId="0" xfId="0" applyFont="1" applyBorder="1" applyAlignment="1">
      <alignment horizontal="left" vertical="center"/>
    </xf>
    <xf numFmtId="0" fontId="25" fillId="0" borderId="31" xfId="0" applyFont="1" applyBorder="1"/>
    <xf numFmtId="0" fontId="34" fillId="0" borderId="31" xfId="0" applyFont="1" applyBorder="1"/>
    <xf numFmtId="0" fontId="0" fillId="0" borderId="31" xfId="0" applyBorder="1"/>
    <xf numFmtId="0" fontId="0" fillId="0" borderId="32" xfId="0" applyBorder="1"/>
    <xf numFmtId="0" fontId="117" fillId="0" borderId="0" xfId="0" applyFont="1" applyAlignment="1">
      <alignment horizontal="left" vertical="center"/>
    </xf>
    <xf numFmtId="0" fontId="0" fillId="0" borderId="21" xfId="0" applyBorder="1"/>
    <xf numFmtId="10" fontId="34" fillId="0" borderId="0" xfId="0" applyNumberFormat="1" applyFont="1" applyAlignment="1">
      <alignment horizontal="center"/>
    </xf>
    <xf numFmtId="0" fontId="89" fillId="0" borderId="0" xfId="0" applyFont="1"/>
    <xf numFmtId="9" fontId="34" fillId="0" borderId="0" xfId="0" applyNumberFormat="1" applyFont="1" applyAlignment="1">
      <alignment horizontal="center"/>
    </xf>
    <xf numFmtId="10" fontId="34" fillId="0" borderId="0" xfId="0" applyNumberFormat="1" applyFont="1"/>
    <xf numFmtId="164" fontId="118" fillId="0" borderId="0" xfId="0" applyNumberFormat="1" applyFont="1" applyBorder="1" applyAlignment="1">
      <alignment horizontal="left" vertical="center"/>
    </xf>
    <xf numFmtId="165" fontId="34" fillId="0" borderId="0" xfId="0" applyNumberFormat="1" applyFont="1" applyAlignment="1">
      <alignment horizontal="center"/>
    </xf>
    <xf numFmtId="164" fontId="34" fillId="0" borderId="0" xfId="0" applyNumberFormat="1" applyFont="1" applyAlignment="1"/>
    <xf numFmtId="0" fontId="34" fillId="0" borderId="10" xfId="0" applyFont="1" applyBorder="1"/>
    <xf numFmtId="0" fontId="119" fillId="0" borderId="0" xfId="0" applyFont="1" applyAlignment="1">
      <alignment horizontal="left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110" fillId="0" borderId="0" xfId="0" applyFont="1"/>
    <xf numFmtId="164" fontId="110" fillId="0" borderId="0" xfId="0" applyNumberFormat="1" applyFont="1"/>
    <xf numFmtId="0" fontId="120" fillId="0" borderId="0" xfId="0" applyFont="1" applyAlignment="1">
      <alignment horizontal="right" vertical="center"/>
    </xf>
    <xf numFmtId="0" fontId="34" fillId="0" borderId="4" xfId="0" applyFont="1" applyBorder="1"/>
    <xf numFmtId="0" fontId="34" fillId="0" borderId="5" xfId="0" applyFont="1" applyBorder="1"/>
    <xf numFmtId="0" fontId="120" fillId="0" borderId="4" xfId="0" applyFont="1" applyBorder="1" applyAlignment="1">
      <alignment horizontal="right" vertical="center"/>
    </xf>
    <xf numFmtId="0" fontId="34" fillId="0" borderId="1" xfId="0" applyFont="1" applyBorder="1" applyAlignment="1">
      <alignment horizontal="center" vertical="center"/>
    </xf>
    <xf numFmtId="0" fontId="1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" xfId="0" applyNumberFormat="1" applyFont="1" applyBorder="1"/>
    <xf numFmtId="164" fontId="0" fillId="0" borderId="0" xfId="2" applyNumberFormat="1" applyFont="1" applyBorder="1"/>
    <xf numFmtId="164" fontId="110" fillId="0" borderId="0" xfId="0" applyNumberFormat="1" applyFont="1" applyBorder="1"/>
    <xf numFmtId="164" fontId="0" fillId="0" borderId="1" xfId="3" applyNumberFormat="1" applyFont="1" applyBorder="1"/>
    <xf numFmtId="164" fontId="0" fillId="0" borderId="0" xfId="0" applyNumberFormat="1"/>
    <xf numFmtId="164" fontId="0" fillId="0" borderId="1" xfId="0" applyNumberFormat="1" applyBorder="1"/>
    <xf numFmtId="0" fontId="0" fillId="0" borderId="7" xfId="0" applyBorder="1"/>
    <xf numFmtId="0" fontId="0" fillId="0" borderId="36" xfId="0" applyBorder="1"/>
    <xf numFmtId="164" fontId="34" fillId="0" borderId="7" xfId="0" applyNumberFormat="1" applyFont="1" applyBorder="1"/>
    <xf numFmtId="164" fontId="0" fillId="0" borderId="5" xfId="0" applyNumberFormat="1" applyBorder="1"/>
    <xf numFmtId="0" fontId="12" fillId="0" borderId="4" xfId="0" applyFont="1" applyBorder="1" applyAlignment="1">
      <alignment horizontal="center" vertical="center"/>
    </xf>
    <xf numFmtId="0" fontId="0" fillId="0" borderId="5" xfId="0" applyBorder="1"/>
    <xf numFmtId="164" fontId="34" fillId="0" borderId="1" xfId="0" applyNumberFormat="1" applyFont="1" applyBorder="1"/>
    <xf numFmtId="164" fontId="34" fillId="0" borderId="0" xfId="0" applyNumberFormat="1" applyFont="1" applyBorder="1" applyAlignment="1">
      <alignment horizontal="center"/>
    </xf>
    <xf numFmtId="0" fontId="34" fillId="0" borderId="1" xfId="0" applyFont="1" applyBorder="1"/>
    <xf numFmtId="0" fontId="34" fillId="0" borderId="36" xfId="0" applyFont="1" applyBorder="1"/>
    <xf numFmtId="0" fontId="34" fillId="0" borderId="7" xfId="0" applyFont="1" applyBorder="1"/>
    <xf numFmtId="164" fontId="34" fillId="0" borderId="36" xfId="0" applyNumberFormat="1" applyFont="1" applyBorder="1"/>
    <xf numFmtId="10" fontId="97" fillId="0" borderId="0" xfId="0" applyNumberFormat="1" applyFont="1" applyBorder="1" applyAlignment="1">
      <alignment horizontal="left" vertical="center" wrapText="1"/>
    </xf>
    <xf numFmtId="0" fontId="34" fillId="0" borderId="3" xfId="0" applyFont="1" applyBorder="1"/>
    <xf numFmtId="0" fontId="37" fillId="0" borderId="2" xfId="0" applyFont="1" applyBorder="1"/>
    <xf numFmtId="164" fontId="0" fillId="0" borderId="2" xfId="0" applyNumberFormat="1" applyFont="1" applyBorder="1"/>
    <xf numFmtId="0" fontId="0" fillId="0" borderId="6" xfId="0" applyBorder="1"/>
    <xf numFmtId="164" fontId="0" fillId="0" borderId="3" xfId="0" applyNumberFormat="1" applyBorder="1"/>
    <xf numFmtId="164" fontId="34" fillId="0" borderId="2" xfId="0" applyNumberFormat="1" applyFont="1" applyBorder="1"/>
    <xf numFmtId="164" fontId="34" fillId="0" borderId="6" xfId="0" applyNumberFormat="1" applyFont="1" applyBorder="1"/>
    <xf numFmtId="164" fontId="0" fillId="0" borderId="7" xfId="0" applyNumberFormat="1" applyBorder="1"/>
    <xf numFmtId="0" fontId="59" fillId="0" borderId="21" xfId="0" applyFont="1" applyBorder="1" applyAlignment="1" applyProtection="1">
      <alignment horizontal="center" vertical="center" wrapText="1"/>
      <protection locked="0"/>
    </xf>
    <xf numFmtId="0" fontId="71" fillId="0" borderId="21" xfId="0" applyFont="1" applyBorder="1" applyAlignment="1" applyProtection="1">
      <alignment horizontal="left"/>
      <protection locked="0"/>
    </xf>
    <xf numFmtId="8" fontId="0" fillId="0" borderId="0" xfId="0" applyNumberFormat="1" applyBorder="1"/>
    <xf numFmtId="8" fontId="27" fillId="0" borderId="0" xfId="0" applyNumberFormat="1" applyFont="1" applyBorder="1"/>
    <xf numFmtId="8" fontId="1" fillId="0" borderId="0" xfId="0" applyNumberFormat="1" applyFont="1" applyBorder="1" applyAlignment="1">
      <alignment vertical="center"/>
    </xf>
    <xf numFmtId="8" fontId="0" fillId="0" borderId="0" xfId="0" applyNumberFormat="1"/>
    <xf numFmtId="0" fontId="57" fillId="0" borderId="26" xfId="0" applyFont="1" applyBorder="1" applyAlignment="1" applyProtection="1">
      <alignment vertical="center"/>
      <protection locked="0"/>
    </xf>
    <xf numFmtId="164" fontId="0" fillId="0" borderId="30" xfId="0" applyNumberFormat="1" applyBorder="1" applyProtection="1">
      <protection locked="0"/>
    </xf>
    <xf numFmtId="8" fontId="0" fillId="0" borderId="26" xfId="0" applyNumberFormat="1" applyBorder="1" applyProtection="1">
      <protection locked="0"/>
    </xf>
    <xf numFmtId="0" fontId="121" fillId="0" borderId="0" xfId="0" applyFont="1" applyBorder="1" applyAlignment="1">
      <alignment horizontal="left"/>
    </xf>
    <xf numFmtId="0" fontId="123" fillId="0" borderId="3" xfId="0" applyFont="1" applyBorder="1" applyAlignment="1" applyProtection="1">
      <alignment vertical="center"/>
      <protection locked="0"/>
    </xf>
    <xf numFmtId="0" fontId="58" fillId="11" borderId="2" xfId="0" applyFont="1" applyFill="1" applyBorder="1" applyAlignment="1" applyProtection="1">
      <alignment horizontal="right" vertical="center"/>
      <protection locked="0"/>
    </xf>
    <xf numFmtId="0" fontId="58" fillId="11" borderId="0" xfId="0" applyFont="1" applyFill="1" applyBorder="1" applyAlignment="1" applyProtection="1">
      <alignment horizontal="right" vertical="center"/>
      <protection locked="0"/>
    </xf>
    <xf numFmtId="0" fontId="58" fillId="11" borderId="12" xfId="0" applyFont="1" applyFill="1" applyBorder="1" applyAlignment="1" applyProtection="1">
      <alignment horizontal="right" vertical="center"/>
      <protection locked="0"/>
    </xf>
    <xf numFmtId="0" fontId="9" fillId="11" borderId="2" xfId="0" applyFont="1" applyFill="1" applyBorder="1" applyAlignment="1" applyProtection="1">
      <alignment horizontal="right" vertical="center"/>
      <protection locked="0"/>
    </xf>
    <xf numFmtId="0" fontId="9" fillId="11" borderId="0" xfId="0" applyFont="1" applyFill="1" applyBorder="1" applyAlignment="1" applyProtection="1">
      <alignment horizontal="right" vertical="center"/>
      <protection locked="0"/>
    </xf>
    <xf numFmtId="0" fontId="9" fillId="11" borderId="12" xfId="0" applyFont="1" applyFill="1" applyBorder="1" applyAlignment="1" applyProtection="1">
      <alignment horizontal="right" vertical="center"/>
      <protection locked="0"/>
    </xf>
    <xf numFmtId="0" fontId="55" fillId="0" borderId="0" xfId="0" applyFont="1" applyAlignment="1" applyProtection="1">
      <alignment horizont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58" fillId="0" borderId="2" xfId="0" applyFont="1" applyBorder="1" applyAlignment="1" applyProtection="1">
      <alignment horizontal="right" vertical="center"/>
      <protection locked="0"/>
    </xf>
    <xf numFmtId="0" fontId="58" fillId="0" borderId="0" xfId="0" applyFont="1" applyBorder="1" applyAlignment="1" applyProtection="1">
      <alignment horizontal="right" vertical="center"/>
      <protection locked="0"/>
    </xf>
    <xf numFmtId="0" fontId="59" fillId="0" borderId="28" xfId="0" applyFont="1" applyBorder="1" applyAlignment="1" applyProtection="1">
      <alignment horizontal="center"/>
      <protection locked="0"/>
    </xf>
    <xf numFmtId="0" fontId="59" fillId="0" borderId="23" xfId="0" applyFont="1" applyBorder="1" applyAlignment="1" applyProtection="1">
      <alignment horizontal="center"/>
      <protection locked="0"/>
    </xf>
    <xf numFmtId="0" fontId="59" fillId="0" borderId="27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59" fillId="0" borderId="28" xfId="0" applyFont="1" applyBorder="1" applyAlignment="1" applyProtection="1">
      <alignment horizontal="center" vertical="center" wrapText="1"/>
      <protection locked="0"/>
    </xf>
    <xf numFmtId="0" fontId="59" fillId="0" borderId="23" xfId="0" applyFont="1" applyBorder="1" applyAlignment="1" applyProtection="1">
      <alignment horizontal="center" vertical="center" wrapText="1"/>
      <protection locked="0"/>
    </xf>
    <xf numFmtId="0" fontId="59" fillId="0" borderId="27" xfId="0" applyFont="1" applyBorder="1" applyAlignment="1" applyProtection="1">
      <alignment horizontal="center" vertical="center" wrapText="1"/>
      <protection locked="0"/>
    </xf>
    <xf numFmtId="0" fontId="83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58" fillId="0" borderId="2" xfId="0" applyFont="1" applyBorder="1" applyAlignment="1" applyProtection="1">
      <alignment horizontal="left" vertical="center" wrapText="1"/>
      <protection locked="0"/>
    </xf>
    <xf numFmtId="0" fontId="58" fillId="0" borderId="0" xfId="0" applyFont="1" applyBorder="1" applyAlignment="1" applyProtection="1">
      <alignment horizontal="left" vertical="center" wrapText="1"/>
      <protection locked="0"/>
    </xf>
    <xf numFmtId="0" fontId="58" fillId="0" borderId="26" xfId="0" applyFont="1" applyBorder="1" applyAlignment="1" applyProtection="1">
      <alignment horizontal="left" vertical="center" wrapText="1"/>
      <protection locked="0"/>
    </xf>
    <xf numFmtId="0" fontId="74" fillId="0" borderId="2" xfId="1" applyFont="1" applyBorder="1" applyAlignment="1" applyProtection="1">
      <alignment horizontal="center" vertical="center"/>
      <protection locked="0"/>
    </xf>
    <xf numFmtId="0" fontId="74" fillId="0" borderId="0" xfId="1" applyFont="1" applyBorder="1" applyAlignment="1" applyProtection="1">
      <alignment horizontal="center" vertical="center"/>
      <protection locked="0"/>
    </xf>
    <xf numFmtId="0" fontId="74" fillId="0" borderId="26" xfId="1" applyFont="1" applyBorder="1" applyAlignment="1" applyProtection="1">
      <alignment horizontal="center" vertical="center"/>
      <protection locked="0"/>
    </xf>
    <xf numFmtId="0" fontId="59" fillId="0" borderId="19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59" fillId="0" borderId="23" xfId="0" applyFont="1" applyBorder="1" applyAlignment="1" applyProtection="1">
      <alignment horizontal="center" vertical="center"/>
      <protection locked="0"/>
    </xf>
    <xf numFmtId="0" fontId="59" fillId="0" borderId="27" xfId="0" applyFont="1" applyBorder="1" applyAlignment="1" applyProtection="1">
      <alignment horizontal="center" vertical="center"/>
      <protection locked="0"/>
    </xf>
    <xf numFmtId="0" fontId="58" fillId="0" borderId="2" xfId="0" applyFont="1" applyBorder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horizontal="center" vertical="center"/>
      <protection locked="0"/>
    </xf>
    <xf numFmtId="0" fontId="58" fillId="0" borderId="26" xfId="0" applyFont="1" applyBorder="1" applyAlignment="1" applyProtection="1">
      <alignment horizontal="center" vertical="center"/>
      <protection locked="0"/>
    </xf>
    <xf numFmtId="0" fontId="50" fillId="0" borderId="2" xfId="0" applyFont="1" applyBorder="1" applyAlignment="1" applyProtection="1">
      <alignment horizontal="right" vertical="center"/>
      <protection locked="0"/>
    </xf>
    <xf numFmtId="0" fontId="50" fillId="0" borderId="0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34" fillId="6" borderId="2" xfId="0" quotePrefix="1" applyFont="1" applyFill="1" applyBorder="1" applyAlignment="1">
      <alignment horizontal="right" vertical="center"/>
    </xf>
    <xf numFmtId="0" fontId="0" fillId="6" borderId="0" xfId="0" applyFill="1" applyBorder="1" applyAlignment="1">
      <alignment horizontal="right" vertical="center"/>
    </xf>
    <xf numFmtId="0" fontId="0" fillId="6" borderId="2" xfId="0" applyFill="1" applyBorder="1" applyAlignment="1">
      <alignment horizontal="right"/>
    </xf>
    <xf numFmtId="0" fontId="0" fillId="6" borderId="0" xfId="0" applyFill="1" applyBorder="1" applyAlignment="1">
      <alignment horizontal="right"/>
    </xf>
    <xf numFmtId="0" fontId="29" fillId="0" borderId="6" xfId="0" applyFont="1" applyBorder="1" applyAlignment="1">
      <alignment horizontal="right"/>
    </xf>
    <xf numFmtId="0" fontId="29" fillId="0" borderId="7" xfId="0" applyFont="1" applyBorder="1" applyAlignment="1">
      <alignment horizontal="right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29" fillId="0" borderId="2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0" fillId="6" borderId="2" xfId="0" quotePrefix="1" applyFill="1" applyBorder="1" applyAlignment="1">
      <alignment horizontal="right"/>
    </xf>
    <xf numFmtId="8" fontId="30" fillId="3" borderId="11" xfId="0" applyNumberFormat="1" applyFont="1" applyFill="1" applyBorder="1" applyAlignment="1">
      <alignment horizontal="center" vertical="center"/>
    </xf>
    <xf numFmtId="8" fontId="30" fillId="3" borderId="33" xfId="0" applyNumberFormat="1" applyFont="1" applyFill="1" applyBorder="1" applyAlignment="1">
      <alignment horizontal="center" vertical="center"/>
    </xf>
    <xf numFmtId="0" fontId="43" fillId="0" borderId="38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164" fontId="43" fillId="3" borderId="13" xfId="0" applyNumberFormat="1" applyFont="1" applyFill="1" applyBorder="1" applyAlignment="1">
      <alignment horizontal="center"/>
    </xf>
    <xf numFmtId="164" fontId="43" fillId="3" borderId="34" xfId="0" applyNumberFormat="1" applyFont="1" applyFill="1" applyBorder="1" applyAlignment="1">
      <alignment horizontal="center"/>
    </xf>
    <xf numFmtId="0" fontId="24" fillId="0" borderId="2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31" fillId="0" borderId="0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86" fillId="9" borderId="15" xfId="0" applyFont="1" applyFill="1" applyBorder="1" applyAlignment="1">
      <alignment horizontal="right" vertical="center"/>
    </xf>
    <xf numFmtId="0" fontId="86" fillId="9" borderId="9" xfId="0" applyFont="1" applyFill="1" applyBorder="1" applyAlignment="1">
      <alignment horizontal="right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8" fontId="30" fillId="3" borderId="11" xfId="0" applyNumberFormat="1" applyFont="1" applyFill="1" applyBorder="1" applyAlignment="1">
      <alignment horizontal="center"/>
    </xf>
    <xf numFmtId="8" fontId="30" fillId="3" borderId="33" xfId="0" applyNumberFormat="1" applyFont="1" applyFill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106" fillId="0" borderId="48" xfId="0" applyFont="1" applyBorder="1" applyAlignment="1">
      <alignment horizontal="right"/>
    </xf>
    <xf numFmtId="0" fontId="106" fillId="0" borderId="31" xfId="0" applyFont="1" applyBorder="1" applyAlignment="1">
      <alignment horizontal="right"/>
    </xf>
    <xf numFmtId="164" fontId="63" fillId="0" borderId="2" xfId="0" applyNumberFormat="1" applyFont="1" applyBorder="1" applyAlignment="1">
      <alignment horizontal="right"/>
    </xf>
    <xf numFmtId="164" fontId="63" fillId="0" borderId="1" xfId="0" applyNumberFormat="1" applyFont="1" applyBorder="1" applyAlignment="1">
      <alignment horizontal="right"/>
    </xf>
    <xf numFmtId="0" fontId="96" fillId="0" borderId="0" xfId="0" applyFont="1" applyBorder="1" applyAlignment="1">
      <alignment horizontal="left" wrapText="1"/>
    </xf>
    <xf numFmtId="0" fontId="90" fillId="0" borderId="40" xfId="0" applyFont="1" applyBorder="1" applyAlignment="1">
      <alignment horizontal="center" vertical="center" wrapText="1"/>
    </xf>
    <xf numFmtId="0" fontId="90" fillId="0" borderId="21" xfId="0" applyFont="1" applyBorder="1" applyAlignment="1">
      <alignment horizontal="center" vertical="center" wrapText="1"/>
    </xf>
    <xf numFmtId="0" fontId="90" fillId="0" borderId="41" xfId="0" applyFont="1" applyBorder="1" applyAlignment="1">
      <alignment horizontal="center" vertical="center" wrapText="1"/>
    </xf>
    <xf numFmtId="0" fontId="90" fillId="0" borderId="42" xfId="0" applyFont="1" applyBorder="1" applyAlignment="1">
      <alignment horizontal="center" vertical="center" wrapText="1"/>
    </xf>
    <xf numFmtId="0" fontId="90" fillId="0" borderId="0" xfId="0" applyFont="1" applyBorder="1" applyAlignment="1">
      <alignment horizontal="center" vertical="center" wrapText="1"/>
    </xf>
    <xf numFmtId="0" fontId="90" fillId="0" borderId="26" xfId="0" applyFont="1" applyBorder="1" applyAlignment="1">
      <alignment horizontal="center" vertical="center" wrapText="1"/>
    </xf>
    <xf numFmtId="0" fontId="93" fillId="0" borderId="42" xfId="0" applyFont="1" applyBorder="1" applyAlignment="1">
      <alignment horizontal="right" vertical="center"/>
    </xf>
    <xf numFmtId="0" fontId="93" fillId="0" borderId="0" xfId="0" applyFont="1" applyBorder="1" applyAlignment="1">
      <alignment horizontal="right" vertical="center"/>
    </xf>
    <xf numFmtId="164" fontId="95" fillId="0" borderId="0" xfId="0" applyNumberFormat="1" applyFont="1" applyBorder="1" applyAlignment="1">
      <alignment horizontal="center"/>
    </xf>
    <xf numFmtId="0" fontId="96" fillId="0" borderId="26" xfId="0" applyFont="1" applyBorder="1" applyAlignment="1">
      <alignment horizontal="left" wrapText="1"/>
    </xf>
    <xf numFmtId="164" fontId="106" fillId="0" borderId="42" xfId="0" applyNumberFormat="1" applyFont="1" applyBorder="1" applyAlignment="1">
      <alignment horizontal="right" vertical="center"/>
    </xf>
    <xf numFmtId="164" fontId="106" fillId="0" borderId="0" xfId="0" applyNumberFormat="1" applyFont="1" applyBorder="1" applyAlignment="1">
      <alignment horizontal="right" vertical="center"/>
    </xf>
    <xf numFmtId="164" fontId="106" fillId="0" borderId="1" xfId="0" applyNumberFormat="1" applyFont="1" applyBorder="1" applyAlignment="1">
      <alignment horizontal="right" vertical="center"/>
    </xf>
    <xf numFmtId="0" fontId="106" fillId="0" borderId="42" xfId="0" applyFont="1" applyBorder="1" applyAlignment="1">
      <alignment horizontal="right"/>
    </xf>
    <xf numFmtId="0" fontId="106" fillId="0" borderId="0" xfId="0" applyFont="1" applyBorder="1" applyAlignment="1">
      <alignment horizontal="right"/>
    </xf>
    <xf numFmtId="0" fontId="1" fillId="0" borderId="0" xfId="0" applyFont="1"/>
    <xf numFmtId="10" fontId="9" fillId="0" borderId="10" xfId="0" applyNumberFormat="1" applyFont="1" applyBorder="1" applyAlignment="1">
      <alignment horizontal="center" vertical="center"/>
    </xf>
  </cellXfs>
  <cellStyles count="4">
    <cellStyle name="Hiperligação" xfId="1" builtinId="8"/>
    <cellStyle name="Moeda" xfId="2" builtinId="4"/>
    <cellStyle name="Normal" xfId="0" builtinId="0"/>
    <cellStyle name="Percentagem" xfId="3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670560</xdr:colOff>
      <xdr:row>7</xdr:row>
      <xdr:rowOff>68580</xdr:rowOff>
    </xdr:from>
    <xdr:to>
      <xdr:col>1</xdr:col>
      <xdr:colOff>1138560</xdr:colOff>
      <xdr:row>9</xdr:row>
      <xdr:rowOff>170820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D3934E7-749C-42B7-A8E3-8C884B8F963C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5295" t="19262" r="79023" b="71560"/>
        <a:stretch/>
      </xdr:blipFill>
      <xdr:spPr bwMode="auto">
        <a:xfrm>
          <a:off x="899160" y="830580"/>
          <a:ext cx="468000" cy="468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632460</xdr:colOff>
      <xdr:row>12</xdr:row>
      <xdr:rowOff>60960</xdr:rowOff>
    </xdr:from>
    <xdr:to>
      <xdr:col>1</xdr:col>
      <xdr:colOff>1100460</xdr:colOff>
      <xdr:row>14</xdr:row>
      <xdr:rowOff>163200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2626FBA-34F9-4784-B48E-03158A3E47E6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1267" t="19041" r="63553" b="71614"/>
        <a:stretch/>
      </xdr:blipFill>
      <xdr:spPr bwMode="auto">
        <a:xfrm>
          <a:off x="861060" y="2438400"/>
          <a:ext cx="468000" cy="468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647700</xdr:colOff>
      <xdr:row>16</xdr:row>
      <xdr:rowOff>152400</xdr:rowOff>
    </xdr:from>
    <xdr:to>
      <xdr:col>1</xdr:col>
      <xdr:colOff>1115700</xdr:colOff>
      <xdr:row>19</xdr:row>
      <xdr:rowOff>71760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6882B0E-A770-446C-A476-98E2130A94F1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46944" t="20541" r="47925" b="71981"/>
        <a:stretch/>
      </xdr:blipFill>
      <xdr:spPr bwMode="auto">
        <a:xfrm>
          <a:off x="876300" y="3261360"/>
          <a:ext cx="468000" cy="468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624840</xdr:colOff>
      <xdr:row>26</xdr:row>
      <xdr:rowOff>53340</xdr:rowOff>
    </xdr:from>
    <xdr:to>
      <xdr:col>1</xdr:col>
      <xdr:colOff>1092840</xdr:colOff>
      <xdr:row>28</xdr:row>
      <xdr:rowOff>155580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7A0B7FE-3BCE-4287-86B5-5D033674BB91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2424" t="19551" r="32423" b="71377"/>
        <a:stretch/>
      </xdr:blipFill>
      <xdr:spPr bwMode="auto">
        <a:xfrm>
          <a:off x="853440" y="3970020"/>
          <a:ext cx="468000" cy="468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624840</xdr:colOff>
      <xdr:row>34</xdr:row>
      <xdr:rowOff>45720</xdr:rowOff>
    </xdr:from>
    <xdr:to>
      <xdr:col>1</xdr:col>
      <xdr:colOff>1128840</xdr:colOff>
      <xdr:row>36</xdr:row>
      <xdr:rowOff>111960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88BF4202-BE29-4C62-BCAC-925D592F18F3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77680" t="19461" r="16510" b="72137"/>
        <a:stretch/>
      </xdr:blipFill>
      <xdr:spPr bwMode="auto">
        <a:xfrm>
          <a:off x="853440" y="5013960"/>
          <a:ext cx="504000" cy="432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670560</xdr:colOff>
      <xdr:row>38</xdr:row>
      <xdr:rowOff>91440</xdr:rowOff>
    </xdr:from>
    <xdr:to>
      <xdr:col>1</xdr:col>
      <xdr:colOff>1138560</xdr:colOff>
      <xdr:row>41</xdr:row>
      <xdr:rowOff>10800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76CE3C66-45E1-4D50-A7E7-3DDF10BDF398}"/>
            </a:ext>
          </a:extLst>
        </xdr:cNvPr>
        <xdr:cNvPicPr/>
      </xdr:nvPicPr>
      <xdr:blipFill>
        <a:blip xmlns:r="http://schemas.openxmlformats.org/officeDocument/2006/relationships" r:embed="rId1"/>
        <a:srcRect l="12335" t="54696" r="82552" b="35451"/>
        <a:stretch>
          <a:fillRect/>
        </a:stretch>
      </xdr:blipFill>
      <xdr:spPr>
        <a:xfrm>
          <a:off x="899160" y="5760720"/>
          <a:ext cx="468000" cy="468000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1</xdr:col>
      <xdr:colOff>662940</xdr:colOff>
      <xdr:row>42</xdr:row>
      <xdr:rowOff>60960</xdr:rowOff>
    </xdr:from>
    <xdr:to>
      <xdr:col>1</xdr:col>
      <xdr:colOff>1130940</xdr:colOff>
      <xdr:row>44</xdr:row>
      <xdr:rowOff>163200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351B97FE-4EBD-434D-B2EC-FC639CBC322B}"/>
            </a:ext>
          </a:extLst>
        </xdr:cNvPr>
        <xdr:cNvPicPr/>
      </xdr:nvPicPr>
      <xdr:blipFill>
        <a:blip xmlns:r="http://schemas.openxmlformats.org/officeDocument/2006/relationships" r:embed="rId1"/>
        <a:srcRect l="38465" t="54787" r="56386" b="36178"/>
        <a:stretch>
          <a:fillRect/>
        </a:stretch>
      </xdr:blipFill>
      <xdr:spPr>
        <a:xfrm>
          <a:off x="891540" y="6431280"/>
          <a:ext cx="468000" cy="468000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1</xdr:col>
      <xdr:colOff>655320</xdr:colOff>
      <xdr:row>46</xdr:row>
      <xdr:rowOff>83820</xdr:rowOff>
    </xdr:from>
    <xdr:to>
      <xdr:col>1</xdr:col>
      <xdr:colOff>1123320</xdr:colOff>
      <xdr:row>49</xdr:row>
      <xdr:rowOff>3180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35FA4931-4DDE-4B49-BFB6-C15D35E45F85}"/>
            </a:ext>
          </a:extLst>
        </xdr:cNvPr>
        <xdr:cNvPicPr/>
      </xdr:nvPicPr>
      <xdr:blipFill>
        <a:blip xmlns:r="http://schemas.openxmlformats.org/officeDocument/2006/relationships" r:embed="rId1"/>
        <a:srcRect l="64134" t="54849" r="30574" b="35731"/>
        <a:stretch>
          <a:fillRect/>
        </a:stretch>
      </xdr:blipFill>
      <xdr:spPr>
        <a:xfrm>
          <a:off x="883920" y="7155180"/>
          <a:ext cx="468000" cy="468000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1</xdr:col>
      <xdr:colOff>609600</xdr:colOff>
      <xdr:row>50</xdr:row>
      <xdr:rowOff>68580</xdr:rowOff>
    </xdr:from>
    <xdr:to>
      <xdr:col>1</xdr:col>
      <xdr:colOff>1077600</xdr:colOff>
      <xdr:row>52</xdr:row>
      <xdr:rowOff>170820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76A3E341-C6CC-4566-B980-3A8D61A24433}"/>
            </a:ext>
          </a:extLst>
        </xdr:cNvPr>
        <xdr:cNvPicPr/>
      </xdr:nvPicPr>
      <xdr:blipFill>
        <a:blip xmlns:r="http://schemas.openxmlformats.org/officeDocument/2006/relationships" r:embed="rId1"/>
        <a:srcRect l="12455" t="75368" r="82551" b="15050"/>
        <a:stretch>
          <a:fillRect/>
        </a:stretch>
      </xdr:blipFill>
      <xdr:spPr>
        <a:xfrm>
          <a:off x="838200" y="7840980"/>
          <a:ext cx="468000" cy="468000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1</xdr:col>
      <xdr:colOff>601980</xdr:colOff>
      <xdr:row>58</xdr:row>
      <xdr:rowOff>45720</xdr:rowOff>
    </xdr:from>
    <xdr:to>
      <xdr:col>1</xdr:col>
      <xdr:colOff>1069980</xdr:colOff>
      <xdr:row>60</xdr:row>
      <xdr:rowOff>147960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31CD722B-CD3C-4137-8FF6-742DA51C1D89}"/>
            </a:ext>
          </a:extLst>
        </xdr:cNvPr>
        <xdr:cNvPicPr/>
      </xdr:nvPicPr>
      <xdr:blipFill>
        <a:blip xmlns:r="http://schemas.openxmlformats.org/officeDocument/2006/relationships" r:embed="rId1"/>
        <a:srcRect l="64313" t="74683" r="30809" b="15050"/>
        <a:stretch>
          <a:fillRect/>
        </a:stretch>
      </xdr:blipFill>
      <xdr:spPr>
        <a:xfrm>
          <a:off x="830580" y="14135100"/>
          <a:ext cx="468000" cy="468000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1</xdr:col>
      <xdr:colOff>609600</xdr:colOff>
      <xdr:row>54</xdr:row>
      <xdr:rowOff>83820</xdr:rowOff>
    </xdr:from>
    <xdr:to>
      <xdr:col>1</xdr:col>
      <xdr:colOff>1077600</xdr:colOff>
      <xdr:row>57</xdr:row>
      <xdr:rowOff>3180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3B398353-BEF0-4EC9-BFA7-6F2EF8D5964C}"/>
            </a:ext>
          </a:extLst>
        </xdr:cNvPr>
        <xdr:cNvPicPr/>
      </xdr:nvPicPr>
      <xdr:blipFill>
        <a:blip xmlns:r="http://schemas.openxmlformats.org/officeDocument/2006/relationships" r:embed="rId1"/>
        <a:srcRect l="38220" t="74960" r="56293" b="15050"/>
        <a:stretch>
          <a:fillRect/>
        </a:stretch>
      </xdr:blipFill>
      <xdr:spPr>
        <a:xfrm>
          <a:off x="838200" y="8557260"/>
          <a:ext cx="468000" cy="468000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1</xdr:col>
      <xdr:colOff>617220</xdr:colOff>
      <xdr:row>70</xdr:row>
      <xdr:rowOff>45720</xdr:rowOff>
    </xdr:from>
    <xdr:to>
      <xdr:col>1</xdr:col>
      <xdr:colOff>1121220</xdr:colOff>
      <xdr:row>72</xdr:row>
      <xdr:rowOff>111960</xdr:rowOff>
    </xdr:to>
    <xdr:pic>
      <xdr:nvPicPr>
        <xdr:cNvPr id="13" name="Imagem 12" descr="habitacao">
          <a:extLst>
            <a:ext uri="{FF2B5EF4-FFF2-40B4-BE49-F238E27FC236}">
              <a16:creationId xmlns:a16="http://schemas.microsoft.com/office/drawing/2014/main" id="{FD65B40C-694F-48C7-84BB-AF0448761877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845820" y="15590520"/>
          <a:ext cx="504000" cy="432000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7620</xdr:colOff>
      <xdr:row>80</xdr:row>
      <xdr:rowOff>7620</xdr:rowOff>
    </xdr:to>
    <xdr:pic>
      <xdr:nvPicPr>
        <xdr:cNvPr id="15" name="Imagem 14" descr="https://www.pwc.pt/libs/cq/ui/resources/0.gif">
          <a:extLst>
            <a:ext uri="{FF2B5EF4-FFF2-40B4-BE49-F238E27FC236}">
              <a16:creationId xmlns:a16="http://schemas.microsoft.com/office/drawing/2014/main" id="{85D212D9-C794-4444-86D5-6FF325DC0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772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426720</xdr:colOff>
      <xdr:row>62</xdr:row>
      <xdr:rowOff>106680</xdr:rowOff>
    </xdr:from>
    <xdr:to>
      <xdr:col>1</xdr:col>
      <xdr:colOff>1290720</xdr:colOff>
      <xdr:row>66</xdr:row>
      <xdr:rowOff>167160</xdr:rowOff>
    </xdr:to>
    <xdr:pic>
      <xdr:nvPicPr>
        <xdr:cNvPr id="25" name="Imagem 24">
          <a:extLst>
            <a:ext uri="{FF2B5EF4-FFF2-40B4-BE49-F238E27FC236}">
              <a16:creationId xmlns:a16="http://schemas.microsoft.com/office/drawing/2014/main" id="{10038352-CEEB-43E6-B194-3784AA614B5E}"/>
            </a:ext>
          </a:extLst>
        </xdr:cNvPr>
        <xdr:cNvPicPr/>
      </xdr:nvPicPr>
      <xdr:blipFill rotWithShape="1">
        <a:blip xmlns:r="http://schemas.openxmlformats.org/officeDocument/2006/relationships" r:embed="rId4"/>
        <a:srcRect l="33867" t="33612" r="60348" b="56606"/>
        <a:stretch/>
      </xdr:blipFill>
      <xdr:spPr bwMode="auto">
        <a:xfrm>
          <a:off x="655320" y="14927580"/>
          <a:ext cx="864000" cy="792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7620</xdr:colOff>
      <xdr:row>1</xdr:row>
      <xdr:rowOff>7620</xdr:rowOff>
    </xdr:to>
    <xdr:pic>
      <xdr:nvPicPr>
        <xdr:cNvPr id="2" name="Imagem 1" descr="https://www.pwc.pt/libs/cq/ui/resources/0.gif">
          <a:extLst>
            <a:ext uri="{FF2B5EF4-FFF2-40B4-BE49-F238E27FC236}">
              <a16:creationId xmlns:a16="http://schemas.microsoft.com/office/drawing/2014/main" id="{89A435F3-C5F5-4F85-BAB1-4081AE6F0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7620</xdr:colOff>
      <xdr:row>1</xdr:row>
      <xdr:rowOff>7620</xdr:rowOff>
    </xdr:to>
    <xdr:pic>
      <xdr:nvPicPr>
        <xdr:cNvPr id="2" name="Imagem 1" descr="https://www.pwc.pt/libs/cq/ui/resources/0.gif">
          <a:extLst>
            <a:ext uri="{FF2B5EF4-FFF2-40B4-BE49-F238E27FC236}">
              <a16:creationId xmlns:a16="http://schemas.microsoft.com/office/drawing/2014/main" id="{D8C09B48-267D-400B-9F82-FF742BB89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1828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fo.portaldasfinancas.gov.pt/pt/informacao_fiscal/codigos_tributarios/cimi/Pages/cimi135i.asp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294C6-58D2-4DB0-A240-D127CFA0B3D3}">
  <sheetPr>
    <pageSetUpPr fitToPage="1"/>
  </sheetPr>
  <dimension ref="B2:R85"/>
  <sheetViews>
    <sheetView showGridLines="0" topLeftCell="A4" zoomScaleNormal="100" workbookViewId="0">
      <selection activeCell="B7" sqref="B7"/>
    </sheetView>
  </sheetViews>
  <sheetFormatPr defaultColWidth="9.33203125" defaultRowHeight="14.4" x14ac:dyDescent="0.3"/>
  <cols>
    <col min="1" max="1" width="3.33203125" customWidth="1"/>
    <col min="2" max="2" width="25.33203125" style="68" customWidth="1"/>
    <col min="3" max="8" width="17.77734375" style="68" customWidth="1"/>
    <col min="9" max="9" width="20.21875" style="68" customWidth="1"/>
    <col min="10" max="10" width="9.44140625" customWidth="1"/>
    <col min="11" max="11" width="8.5546875" customWidth="1"/>
    <col min="12" max="12" width="10.6640625" customWidth="1"/>
    <col min="13" max="13" width="11.77734375" customWidth="1"/>
    <col min="14" max="15" width="11.77734375" bestFit="1" customWidth="1"/>
  </cols>
  <sheetData>
    <row r="2" spans="2:14" ht="17.399999999999999" x14ac:dyDescent="0.45">
      <c r="B2" s="272" t="s">
        <v>105</v>
      </c>
      <c r="C2" s="272"/>
      <c r="D2" s="272"/>
      <c r="E2" s="272"/>
      <c r="F2" s="272"/>
      <c r="G2" s="272"/>
      <c r="H2" s="272"/>
      <c r="I2" s="272"/>
    </row>
    <row r="3" spans="2:14" ht="15" customHeight="1" x14ac:dyDescent="0.45">
      <c r="B3" s="273" t="s">
        <v>107</v>
      </c>
      <c r="C3" s="273"/>
      <c r="D3" s="273"/>
      <c r="E3" s="273"/>
      <c r="F3" s="273"/>
      <c r="G3" s="273"/>
      <c r="H3" s="273"/>
      <c r="I3" s="273"/>
      <c r="J3" s="39"/>
      <c r="K3" s="39"/>
      <c r="L3" s="39"/>
      <c r="M3" s="39"/>
    </row>
    <row r="4" spans="2:14" ht="15.6" x14ac:dyDescent="0.3">
      <c r="B4" s="279" t="s">
        <v>106</v>
      </c>
      <c r="C4" s="279"/>
      <c r="D4" s="279"/>
      <c r="E4" s="279"/>
      <c r="F4" s="279"/>
      <c r="G4" s="279"/>
      <c r="H4" s="279"/>
      <c r="I4" s="279"/>
      <c r="J4" s="41"/>
      <c r="K4" s="40"/>
      <c r="L4" s="40"/>
      <c r="M4" s="40"/>
    </row>
    <row r="5" spans="2:14" ht="15.6" x14ac:dyDescent="0.3">
      <c r="B5" s="60"/>
      <c r="C5" s="60"/>
      <c r="D5" s="60"/>
      <c r="E5" s="60"/>
      <c r="F5" s="60"/>
      <c r="G5" s="60"/>
      <c r="H5" s="60"/>
      <c r="I5" s="60"/>
      <c r="J5" s="41"/>
      <c r="K5" s="40"/>
      <c r="L5" s="40"/>
      <c r="M5" s="40"/>
    </row>
    <row r="6" spans="2:14" ht="18.600000000000001" customHeight="1" x14ac:dyDescent="0.5">
      <c r="B6" s="283" t="s">
        <v>169</v>
      </c>
      <c r="C6" s="283"/>
      <c r="D6" s="283"/>
      <c r="E6" s="283"/>
      <c r="F6" s="283"/>
      <c r="G6" s="283"/>
      <c r="H6" s="283"/>
      <c r="I6" s="283"/>
      <c r="J6" s="52"/>
      <c r="K6" s="52"/>
      <c r="L6" s="52"/>
      <c r="M6" s="52"/>
    </row>
    <row r="7" spans="2:14" ht="18.600000000000001" customHeight="1" thickBot="1" x14ac:dyDescent="0.55000000000000004">
      <c r="B7" s="113"/>
      <c r="C7" s="61"/>
      <c r="D7" s="61"/>
      <c r="E7" s="61"/>
      <c r="F7" s="61"/>
      <c r="G7" s="61"/>
      <c r="H7" s="61"/>
      <c r="I7" s="61"/>
      <c r="J7" s="52"/>
      <c r="K7" s="52"/>
      <c r="L7" s="52"/>
      <c r="M7" s="52"/>
    </row>
    <row r="8" spans="2:14" ht="14.55" customHeight="1" thickTop="1" x14ac:dyDescent="0.3">
      <c r="B8" s="291" t="s">
        <v>0</v>
      </c>
      <c r="C8" s="120"/>
      <c r="D8" s="121"/>
      <c r="E8" s="121"/>
      <c r="F8" s="121"/>
      <c r="G8" s="122"/>
      <c r="H8" s="122"/>
      <c r="I8" s="123"/>
      <c r="J8" s="2"/>
      <c r="K8" s="2"/>
      <c r="L8" s="2"/>
      <c r="M8" s="2"/>
      <c r="N8" s="2"/>
    </row>
    <row r="9" spans="2:14" ht="14.55" customHeight="1" x14ac:dyDescent="0.3">
      <c r="B9" s="292"/>
      <c r="C9" s="266" t="s">
        <v>82</v>
      </c>
      <c r="D9" s="267"/>
      <c r="E9" s="267"/>
      <c r="F9" s="267"/>
      <c r="G9" s="267"/>
      <c r="H9" s="268"/>
      <c r="I9" s="124">
        <v>15000</v>
      </c>
      <c r="J9" s="59"/>
      <c r="K9" s="2"/>
      <c r="L9" s="2"/>
      <c r="M9" s="37"/>
      <c r="N9" s="2"/>
    </row>
    <row r="10" spans="2:14" ht="14.55" customHeight="1" x14ac:dyDescent="0.3">
      <c r="B10" s="292"/>
      <c r="C10" s="69" t="s">
        <v>102</v>
      </c>
      <c r="D10" s="70"/>
      <c r="E10" s="70"/>
      <c r="F10" s="70"/>
      <c r="G10" s="67"/>
      <c r="H10" s="71"/>
      <c r="I10" s="125" t="s">
        <v>64</v>
      </c>
      <c r="J10" s="2"/>
      <c r="K10" s="2"/>
      <c r="L10" s="58"/>
      <c r="M10" s="37"/>
      <c r="N10" s="2"/>
    </row>
    <row r="11" spans="2:14" ht="14.55" customHeight="1" x14ac:dyDescent="0.3">
      <c r="B11" s="292"/>
      <c r="C11" s="69" t="s">
        <v>103</v>
      </c>
      <c r="D11" s="70"/>
      <c r="E11" s="70"/>
      <c r="F11" s="70"/>
      <c r="G11" s="67"/>
      <c r="H11" s="72"/>
      <c r="I11" s="126" t="s">
        <v>61</v>
      </c>
      <c r="J11" s="2"/>
      <c r="K11" s="2"/>
      <c r="L11" s="58"/>
      <c r="M11" s="37"/>
      <c r="N11" s="2"/>
    </row>
    <row r="12" spans="2:14" ht="14.55" customHeight="1" x14ac:dyDescent="0.3">
      <c r="B12" s="293"/>
      <c r="C12" s="73" t="s">
        <v>104</v>
      </c>
      <c r="D12" s="74"/>
      <c r="E12" s="74"/>
      <c r="F12" s="74"/>
      <c r="G12" s="67"/>
      <c r="H12" s="67"/>
      <c r="I12" s="127"/>
      <c r="J12" s="114"/>
      <c r="K12" s="2"/>
      <c r="L12" s="2"/>
      <c r="M12" s="37"/>
      <c r="N12" s="2"/>
    </row>
    <row r="13" spans="2:14" ht="14.55" customHeight="1" x14ac:dyDescent="0.3">
      <c r="B13" s="280" t="s">
        <v>161</v>
      </c>
      <c r="C13" s="62"/>
      <c r="D13" s="63"/>
      <c r="E13" s="63"/>
      <c r="F13" s="63"/>
      <c r="G13" s="64"/>
      <c r="H13" s="64"/>
      <c r="I13" s="128"/>
      <c r="J13" s="114"/>
      <c r="K13" s="2"/>
      <c r="L13" s="2"/>
      <c r="M13" s="37"/>
      <c r="N13" s="2"/>
    </row>
    <row r="14" spans="2:14" ht="14.55" customHeight="1" x14ac:dyDescent="0.3">
      <c r="B14" s="281"/>
      <c r="C14" s="266" t="s">
        <v>155</v>
      </c>
      <c r="D14" s="267"/>
      <c r="E14" s="267"/>
      <c r="F14" s="267"/>
      <c r="G14" s="267"/>
      <c r="H14" s="268"/>
      <c r="I14" s="124">
        <v>646.01</v>
      </c>
      <c r="J14" s="59"/>
      <c r="K14" s="2"/>
      <c r="L14" s="2"/>
      <c r="M14" s="37"/>
      <c r="N14" s="2"/>
    </row>
    <row r="15" spans="2:14" ht="14.55" customHeight="1" x14ac:dyDescent="0.3">
      <c r="B15" s="281"/>
      <c r="C15" s="76" t="s">
        <v>89</v>
      </c>
      <c r="D15" s="75"/>
      <c r="E15" s="75"/>
      <c r="F15" s="75"/>
      <c r="G15" s="67"/>
      <c r="H15" s="71"/>
      <c r="I15" s="125" t="s">
        <v>64</v>
      </c>
      <c r="J15" s="114"/>
      <c r="K15" s="2"/>
      <c r="L15" s="2"/>
      <c r="M15" s="37"/>
      <c r="N15" s="2"/>
    </row>
    <row r="16" spans="2:14" ht="14.55" customHeight="1" x14ac:dyDescent="0.3">
      <c r="B16" s="282"/>
      <c r="C16" s="77"/>
      <c r="D16" s="75"/>
      <c r="E16" s="75"/>
      <c r="F16" s="78"/>
      <c r="G16" s="72"/>
      <c r="H16" s="72"/>
      <c r="I16" s="126" t="s">
        <v>61</v>
      </c>
      <c r="J16" s="114"/>
      <c r="K16" s="2"/>
      <c r="L16" s="2"/>
      <c r="M16" s="37"/>
      <c r="N16" s="2"/>
    </row>
    <row r="17" spans="2:14" ht="14.55" customHeight="1" x14ac:dyDescent="0.3">
      <c r="B17" s="280" t="s">
        <v>154</v>
      </c>
      <c r="C17" s="62"/>
      <c r="D17" s="63"/>
      <c r="E17" s="63"/>
      <c r="F17" s="63"/>
      <c r="G17" s="64"/>
      <c r="H17" s="80"/>
      <c r="I17" s="128"/>
      <c r="J17" s="114"/>
      <c r="K17" s="2"/>
      <c r="L17" s="2"/>
      <c r="M17" s="37"/>
      <c r="N17" s="2"/>
    </row>
    <row r="18" spans="2:14" ht="14.55" customHeight="1" x14ac:dyDescent="0.3">
      <c r="B18" s="281"/>
      <c r="C18" s="266" t="s">
        <v>155</v>
      </c>
      <c r="D18" s="267"/>
      <c r="E18" s="267"/>
      <c r="F18" s="267"/>
      <c r="G18" s="267"/>
      <c r="H18" s="268"/>
      <c r="I18" s="124">
        <v>1880</v>
      </c>
      <c r="J18" s="59"/>
      <c r="K18" s="2"/>
      <c r="L18" s="2"/>
      <c r="M18" s="37"/>
      <c r="N18" s="2"/>
    </row>
    <row r="19" spans="2:14" ht="14.55" customHeight="1" x14ac:dyDescent="0.3">
      <c r="B19" s="281"/>
      <c r="C19" s="76" t="s">
        <v>90</v>
      </c>
      <c r="D19" s="75"/>
      <c r="E19" s="75"/>
      <c r="F19" s="75"/>
      <c r="G19" s="67"/>
      <c r="H19" s="71"/>
      <c r="I19" s="125" t="s">
        <v>64</v>
      </c>
      <c r="J19" s="115"/>
      <c r="K19" s="2"/>
      <c r="L19" s="2"/>
      <c r="M19" s="37"/>
      <c r="N19" s="2"/>
    </row>
    <row r="20" spans="2:14" ht="14.55" customHeight="1" x14ac:dyDescent="0.3">
      <c r="B20" s="281"/>
      <c r="C20" s="77"/>
      <c r="D20" s="81"/>
      <c r="E20" s="81"/>
      <c r="F20" s="81"/>
      <c r="G20" s="72"/>
      <c r="H20" s="72"/>
      <c r="I20" s="126" t="s">
        <v>61</v>
      </c>
      <c r="J20" s="116"/>
      <c r="K20" s="2"/>
      <c r="L20" s="2"/>
      <c r="M20" s="37"/>
      <c r="N20" s="2"/>
    </row>
    <row r="21" spans="2:14" ht="14.55" customHeight="1" x14ac:dyDescent="0.3">
      <c r="B21" s="281"/>
      <c r="C21" s="265" t="s">
        <v>60</v>
      </c>
      <c r="D21" s="63"/>
      <c r="E21" s="63"/>
      <c r="F21" s="63"/>
      <c r="G21" s="64"/>
      <c r="H21" s="80"/>
      <c r="I21" s="128"/>
      <c r="J21" s="115"/>
      <c r="K21" s="2"/>
      <c r="L21" s="2"/>
      <c r="M21" s="37"/>
      <c r="N21" s="2"/>
    </row>
    <row r="22" spans="2:14" ht="14.55" customHeight="1" x14ac:dyDescent="0.3">
      <c r="B22" s="281"/>
      <c r="C22" s="266" t="s">
        <v>155</v>
      </c>
      <c r="D22" s="267"/>
      <c r="E22" s="267"/>
      <c r="F22" s="267"/>
      <c r="G22" s="267"/>
      <c r="H22" s="268"/>
      <c r="I22" s="124">
        <v>1000</v>
      </c>
      <c r="J22" s="59"/>
      <c r="K22" s="2"/>
      <c r="L22" s="2"/>
      <c r="M22" s="37"/>
      <c r="N22" s="2"/>
    </row>
    <row r="23" spans="2:14" ht="14.55" customHeight="1" x14ac:dyDescent="0.45">
      <c r="B23" s="281"/>
      <c r="C23" s="76" t="s">
        <v>91</v>
      </c>
      <c r="D23" s="75"/>
      <c r="E23" s="75"/>
      <c r="F23" s="75"/>
      <c r="G23" s="67"/>
      <c r="H23" s="71"/>
      <c r="I23" s="125" t="s">
        <v>64</v>
      </c>
      <c r="J23" s="114"/>
      <c r="K23" s="2"/>
      <c r="L23" s="44"/>
      <c r="M23" s="37"/>
      <c r="N23" s="2"/>
    </row>
    <row r="24" spans="2:14" ht="14.55" customHeight="1" x14ac:dyDescent="0.3">
      <c r="B24" s="282"/>
      <c r="C24" s="67"/>
      <c r="D24" s="75"/>
      <c r="E24" s="75"/>
      <c r="F24" s="75"/>
      <c r="G24" s="72"/>
      <c r="H24" s="72"/>
      <c r="I24" s="126" t="s">
        <v>61</v>
      </c>
      <c r="J24" s="114"/>
      <c r="K24" s="2"/>
      <c r="L24" s="2"/>
      <c r="M24" s="37"/>
      <c r="N24" s="2"/>
    </row>
    <row r="25" spans="2:14" ht="14.55" customHeight="1" x14ac:dyDescent="0.3">
      <c r="B25" s="280" t="s">
        <v>11</v>
      </c>
      <c r="C25" s="265" t="s">
        <v>167</v>
      </c>
      <c r="D25" s="64"/>
      <c r="E25" s="64"/>
      <c r="F25" s="64"/>
      <c r="G25" s="64"/>
      <c r="H25" s="80"/>
      <c r="I25" s="128"/>
      <c r="J25" s="114"/>
      <c r="K25" s="2"/>
      <c r="L25" s="2"/>
      <c r="M25" s="37"/>
      <c r="N25" s="2"/>
    </row>
    <row r="26" spans="2:14" ht="14.55" customHeight="1" x14ac:dyDescent="0.3">
      <c r="B26" s="294"/>
      <c r="C26" s="266" t="s">
        <v>155</v>
      </c>
      <c r="D26" s="267"/>
      <c r="E26" s="267"/>
      <c r="F26" s="267"/>
      <c r="G26" s="267"/>
      <c r="H26" s="268"/>
      <c r="I26" s="124">
        <v>3000</v>
      </c>
      <c r="J26" s="59"/>
      <c r="K26" s="2"/>
      <c r="L26" s="2"/>
      <c r="M26" s="37"/>
      <c r="N26" s="2"/>
    </row>
    <row r="27" spans="2:14" ht="14.55" customHeight="1" x14ac:dyDescent="0.3">
      <c r="B27" s="294"/>
      <c r="C27" s="76" t="s">
        <v>92</v>
      </c>
      <c r="D27" s="82"/>
      <c r="E27" s="82"/>
      <c r="F27" s="82"/>
      <c r="G27" s="67"/>
      <c r="H27" s="71"/>
      <c r="I27" s="125" t="s">
        <v>64</v>
      </c>
      <c r="J27" s="117"/>
      <c r="K27" s="2"/>
      <c r="L27" s="2"/>
      <c r="M27" s="37"/>
      <c r="N27" s="2"/>
    </row>
    <row r="28" spans="2:14" ht="14.55" customHeight="1" x14ac:dyDescent="0.3">
      <c r="B28" s="294"/>
      <c r="C28" s="84" t="s">
        <v>83</v>
      </c>
      <c r="D28" s="83"/>
      <c r="E28" s="83"/>
      <c r="F28" s="83"/>
      <c r="G28" s="72"/>
      <c r="H28" s="72"/>
      <c r="I28" s="126" t="s">
        <v>61</v>
      </c>
      <c r="J28" s="117"/>
      <c r="K28" s="2"/>
      <c r="L28" s="2"/>
      <c r="M28" s="37"/>
      <c r="N28" s="2"/>
    </row>
    <row r="29" spans="2:14" ht="14.55" customHeight="1" x14ac:dyDescent="0.3">
      <c r="B29" s="294"/>
      <c r="C29" s="84" t="s">
        <v>78</v>
      </c>
      <c r="D29" s="85"/>
      <c r="E29" s="85"/>
      <c r="F29" s="85"/>
      <c r="G29" s="67"/>
      <c r="H29" s="67"/>
      <c r="I29" s="127"/>
      <c r="J29" s="117"/>
      <c r="K29" s="2"/>
      <c r="L29" s="2"/>
      <c r="M29" s="37"/>
      <c r="N29" s="2"/>
    </row>
    <row r="30" spans="2:14" ht="14.55" customHeight="1" x14ac:dyDescent="0.3">
      <c r="B30" s="294"/>
      <c r="C30" s="265" t="s">
        <v>168</v>
      </c>
      <c r="D30" s="64"/>
      <c r="E30" s="64"/>
      <c r="F30" s="64"/>
      <c r="G30" s="64"/>
      <c r="H30" s="80"/>
      <c r="I30" s="128"/>
      <c r="J30" s="2"/>
      <c r="K30" s="2"/>
      <c r="L30" s="2"/>
      <c r="M30" s="37"/>
      <c r="N30" s="2"/>
    </row>
    <row r="31" spans="2:14" ht="14.55" customHeight="1" x14ac:dyDescent="0.3">
      <c r="B31" s="294"/>
      <c r="C31" s="266" t="s">
        <v>155</v>
      </c>
      <c r="D31" s="267"/>
      <c r="E31" s="267"/>
      <c r="F31" s="267"/>
      <c r="G31" s="267"/>
      <c r="H31" s="268"/>
      <c r="I31" s="124">
        <v>3000</v>
      </c>
      <c r="J31" s="59"/>
      <c r="K31" s="2"/>
      <c r="L31" s="2"/>
      <c r="M31" s="37"/>
      <c r="N31" s="2"/>
    </row>
    <row r="32" spans="2:14" ht="14.55" customHeight="1" x14ac:dyDescent="0.3">
      <c r="B32" s="294"/>
      <c r="C32" s="76" t="s">
        <v>93</v>
      </c>
      <c r="D32" s="82"/>
      <c r="E32" s="82"/>
      <c r="F32" s="82"/>
      <c r="G32" s="67"/>
      <c r="H32" s="71"/>
      <c r="I32" s="125" t="s">
        <v>64</v>
      </c>
      <c r="J32" s="117"/>
      <c r="K32" s="2"/>
      <c r="L32" s="2"/>
      <c r="M32" s="37"/>
      <c r="N32" s="2"/>
    </row>
    <row r="33" spans="2:14" ht="14.55" customHeight="1" x14ac:dyDescent="0.3">
      <c r="B33" s="294"/>
      <c r="C33" s="84" t="s">
        <v>84</v>
      </c>
      <c r="D33" s="83"/>
      <c r="E33" s="82"/>
      <c r="F33" s="82"/>
      <c r="G33" s="72"/>
      <c r="H33" s="72"/>
      <c r="I33" s="126" t="s">
        <v>61</v>
      </c>
      <c r="J33" s="117"/>
      <c r="K33" s="2"/>
      <c r="L33" s="2"/>
      <c r="M33" s="37"/>
      <c r="N33" s="2"/>
    </row>
    <row r="34" spans="2:14" ht="14.55" customHeight="1" x14ac:dyDescent="0.3">
      <c r="B34" s="295"/>
      <c r="C34" s="84" t="s">
        <v>77</v>
      </c>
      <c r="D34" s="85"/>
      <c r="E34" s="86"/>
      <c r="F34" s="86"/>
      <c r="G34" s="67"/>
      <c r="H34" s="67"/>
      <c r="I34" s="127"/>
      <c r="J34" s="117"/>
      <c r="K34" s="2"/>
      <c r="L34" s="2"/>
      <c r="M34" s="37"/>
      <c r="N34" s="2"/>
    </row>
    <row r="35" spans="2:14" ht="14.55" customHeight="1" x14ac:dyDescent="0.3">
      <c r="B35" s="276" t="s">
        <v>1</v>
      </c>
      <c r="C35" s="62"/>
      <c r="D35" s="64"/>
      <c r="E35" s="64"/>
      <c r="F35" s="64"/>
      <c r="G35" s="64"/>
      <c r="H35" s="80"/>
      <c r="I35" s="128"/>
      <c r="J35" s="59"/>
      <c r="K35" s="59"/>
      <c r="L35" s="59"/>
      <c r="M35" s="59"/>
      <c r="N35" s="59"/>
    </row>
    <row r="36" spans="2:14" ht="14.55" customHeight="1" x14ac:dyDescent="0.3">
      <c r="B36" s="277"/>
      <c r="C36" s="266" t="s">
        <v>155</v>
      </c>
      <c r="D36" s="267"/>
      <c r="E36" s="267"/>
      <c r="F36" s="267"/>
      <c r="G36" s="267"/>
      <c r="H36" s="268"/>
      <c r="I36" s="124">
        <v>2000</v>
      </c>
      <c r="J36" s="59"/>
      <c r="K36" s="59"/>
      <c r="L36" s="59"/>
      <c r="M36" s="59"/>
      <c r="N36" s="59"/>
    </row>
    <row r="37" spans="2:14" ht="14.55" customHeight="1" x14ac:dyDescent="0.3">
      <c r="B37" s="277"/>
      <c r="C37" s="76" t="s">
        <v>94</v>
      </c>
      <c r="D37" s="87"/>
      <c r="E37" s="87"/>
      <c r="F37" s="87"/>
      <c r="G37" s="67"/>
      <c r="H37" s="71"/>
      <c r="I37" s="125" t="s">
        <v>64</v>
      </c>
      <c r="J37" s="59"/>
      <c r="K37" s="59"/>
      <c r="L37" s="59"/>
      <c r="M37" s="59"/>
      <c r="N37" s="59"/>
    </row>
    <row r="38" spans="2:14" ht="14.55" customHeight="1" x14ac:dyDescent="0.3">
      <c r="B38" s="278"/>
      <c r="C38" s="88"/>
      <c r="D38" s="89"/>
      <c r="E38" s="89"/>
      <c r="F38" s="89"/>
      <c r="G38" s="72"/>
      <c r="H38" s="72"/>
      <c r="I38" s="126" t="s">
        <v>61</v>
      </c>
      <c r="J38" s="59"/>
      <c r="K38" s="59"/>
      <c r="L38" s="59"/>
      <c r="M38" s="59"/>
      <c r="N38" s="59"/>
    </row>
    <row r="39" spans="2:14" ht="14.55" customHeight="1" x14ac:dyDescent="0.3">
      <c r="B39" s="276" t="s">
        <v>2</v>
      </c>
      <c r="C39" s="62"/>
      <c r="D39" s="64"/>
      <c r="E39" s="64"/>
      <c r="F39" s="64"/>
      <c r="G39" s="64"/>
      <c r="H39" s="64"/>
      <c r="I39" s="129"/>
      <c r="J39" s="118"/>
      <c r="K39" s="38"/>
      <c r="L39" s="38"/>
      <c r="M39" s="38"/>
    </row>
    <row r="40" spans="2:14" ht="14.55" customHeight="1" x14ac:dyDescent="0.3">
      <c r="B40" s="277"/>
      <c r="C40" s="266" t="s">
        <v>156</v>
      </c>
      <c r="D40" s="267"/>
      <c r="E40" s="267"/>
      <c r="F40" s="267"/>
      <c r="G40" s="267"/>
      <c r="H40" s="268"/>
      <c r="I40" s="124">
        <v>243.83</v>
      </c>
      <c r="J40" s="118"/>
      <c r="K40" s="258"/>
      <c r="L40" s="2"/>
      <c r="M40" s="2"/>
    </row>
    <row r="41" spans="2:14" ht="14.55" customHeight="1" x14ac:dyDescent="0.3">
      <c r="B41" s="277"/>
      <c r="C41" s="274"/>
      <c r="D41" s="275"/>
      <c r="E41" s="275"/>
      <c r="G41" s="90"/>
      <c r="H41" s="67"/>
      <c r="I41" s="127"/>
      <c r="J41" s="118"/>
      <c r="K41" s="2"/>
      <c r="L41" s="2"/>
      <c r="M41" s="2"/>
    </row>
    <row r="42" spans="2:14" ht="14.55" customHeight="1" x14ac:dyDescent="0.3">
      <c r="B42" s="278"/>
      <c r="C42" s="88"/>
      <c r="D42" s="87"/>
      <c r="E42" s="86"/>
      <c r="F42" s="91"/>
      <c r="G42" s="92"/>
      <c r="H42" s="92"/>
      <c r="I42" s="131"/>
      <c r="J42" s="118"/>
      <c r="K42" s="4"/>
      <c r="L42" s="4"/>
      <c r="M42" s="4"/>
    </row>
    <row r="43" spans="2:14" ht="14.55" customHeight="1" x14ac:dyDescent="0.3">
      <c r="B43" s="276" t="s">
        <v>3</v>
      </c>
      <c r="C43" s="62"/>
      <c r="D43" s="64"/>
      <c r="E43" s="64"/>
      <c r="F43" s="64"/>
      <c r="G43" s="64"/>
      <c r="H43" s="80"/>
      <c r="I43" s="129"/>
      <c r="J43" s="118"/>
      <c r="K43" s="11"/>
      <c r="L43" s="38"/>
      <c r="M43" s="38"/>
    </row>
    <row r="44" spans="2:14" ht="14.55" customHeight="1" x14ac:dyDescent="0.3">
      <c r="B44" s="277"/>
      <c r="C44" s="266" t="s">
        <v>157</v>
      </c>
      <c r="D44" s="267"/>
      <c r="E44" s="267"/>
      <c r="F44" s="267"/>
      <c r="G44" s="267"/>
      <c r="H44" s="268"/>
      <c r="I44" s="124">
        <v>112.2</v>
      </c>
      <c r="J44" s="118"/>
      <c r="K44" s="11"/>
      <c r="L44" s="11"/>
      <c r="M44" s="2"/>
    </row>
    <row r="45" spans="2:14" ht="14.55" customHeight="1" x14ac:dyDescent="0.3">
      <c r="B45" s="277"/>
      <c r="C45" s="274"/>
      <c r="D45" s="275"/>
      <c r="E45" s="275"/>
      <c r="F45" s="67"/>
      <c r="G45" s="90"/>
      <c r="H45" s="66"/>
      <c r="I45" s="130"/>
      <c r="J45" s="118"/>
      <c r="K45" s="2"/>
      <c r="L45" s="2"/>
      <c r="M45" s="2"/>
    </row>
    <row r="46" spans="2:14" ht="14.55" customHeight="1" x14ac:dyDescent="0.3">
      <c r="B46" s="278"/>
      <c r="C46" s="88"/>
      <c r="D46" s="87"/>
      <c r="E46" s="86"/>
      <c r="F46" s="91"/>
      <c r="G46" s="85"/>
      <c r="H46" s="89"/>
      <c r="I46" s="131"/>
      <c r="J46" s="118"/>
      <c r="K46" s="4"/>
      <c r="L46" s="4"/>
      <c r="M46" s="4"/>
    </row>
    <row r="47" spans="2:14" ht="14.55" customHeight="1" x14ac:dyDescent="0.3">
      <c r="B47" s="276" t="s">
        <v>4</v>
      </c>
      <c r="C47" s="62"/>
      <c r="D47" s="64"/>
      <c r="E47" s="64"/>
      <c r="F47" s="64"/>
      <c r="G47" s="93"/>
      <c r="H47" s="80"/>
      <c r="I47" s="132"/>
      <c r="J47" s="118"/>
      <c r="K47" s="5"/>
      <c r="L47" s="5"/>
      <c r="M47" s="5"/>
    </row>
    <row r="48" spans="2:14" ht="14.55" customHeight="1" x14ac:dyDescent="0.3">
      <c r="B48" s="277"/>
      <c r="C48" s="266" t="s">
        <v>158</v>
      </c>
      <c r="D48" s="267"/>
      <c r="E48" s="267"/>
      <c r="F48" s="267"/>
      <c r="G48" s="267"/>
      <c r="H48" s="268"/>
      <c r="I48" s="124">
        <v>46.02</v>
      </c>
      <c r="J48" s="118"/>
      <c r="K48" s="259"/>
      <c r="L48" s="11"/>
      <c r="M48" s="5"/>
    </row>
    <row r="49" spans="2:13" ht="14.55" customHeight="1" x14ac:dyDescent="0.3">
      <c r="B49" s="277"/>
      <c r="C49" s="299"/>
      <c r="D49" s="300"/>
      <c r="E49" s="300"/>
      <c r="F49" s="67"/>
      <c r="G49" s="90"/>
      <c r="H49" s="66"/>
      <c r="I49" s="127"/>
      <c r="J49" s="118"/>
      <c r="K49" s="2"/>
      <c r="L49" s="2"/>
      <c r="M49" s="2"/>
    </row>
    <row r="50" spans="2:13" ht="14.55" customHeight="1" x14ac:dyDescent="0.3">
      <c r="B50" s="278"/>
      <c r="C50" s="88"/>
      <c r="D50" s="86"/>
      <c r="E50" s="86"/>
      <c r="F50" s="91"/>
      <c r="G50" s="85"/>
      <c r="H50" s="89"/>
      <c r="I50" s="131"/>
      <c r="J50" s="118"/>
      <c r="K50" s="2"/>
      <c r="L50" s="2"/>
      <c r="M50" s="2"/>
    </row>
    <row r="51" spans="2:13" ht="14.55" customHeight="1" x14ac:dyDescent="0.35">
      <c r="B51" s="276" t="s">
        <v>5</v>
      </c>
      <c r="C51" s="62"/>
      <c r="D51" s="64"/>
      <c r="E51" s="64"/>
      <c r="F51" s="64"/>
      <c r="G51" s="64"/>
      <c r="H51" s="80"/>
      <c r="I51" s="129"/>
      <c r="J51" s="119" t="s">
        <v>81</v>
      </c>
      <c r="K51" s="2"/>
      <c r="L51" s="2"/>
      <c r="M51" s="2"/>
    </row>
    <row r="52" spans="2:13" ht="14.55" customHeight="1" x14ac:dyDescent="0.3">
      <c r="B52" s="277"/>
      <c r="C52" s="266" t="s">
        <v>159</v>
      </c>
      <c r="D52" s="267"/>
      <c r="E52" s="267"/>
      <c r="F52" s="267"/>
      <c r="G52" s="267"/>
      <c r="H52" s="268"/>
      <c r="I52" s="124">
        <v>93.5</v>
      </c>
      <c r="J52" s="118"/>
      <c r="K52" s="257"/>
      <c r="L52" s="2"/>
      <c r="M52" s="2"/>
    </row>
    <row r="53" spans="2:13" ht="14.55" customHeight="1" x14ac:dyDescent="0.3">
      <c r="B53" s="277"/>
      <c r="C53" s="274"/>
      <c r="D53" s="275"/>
      <c r="E53" s="275"/>
      <c r="F53" s="67"/>
      <c r="G53" s="90"/>
      <c r="H53" s="66"/>
      <c r="I53" s="130"/>
      <c r="J53" s="118"/>
      <c r="K53" s="2"/>
      <c r="L53" s="2"/>
      <c r="M53" s="2"/>
    </row>
    <row r="54" spans="2:13" ht="14.55" customHeight="1" x14ac:dyDescent="0.3">
      <c r="B54" s="278"/>
      <c r="C54" s="88"/>
      <c r="D54" s="86"/>
      <c r="E54" s="86"/>
      <c r="F54" s="91"/>
      <c r="G54" s="85"/>
      <c r="H54" s="89"/>
      <c r="I54" s="131"/>
      <c r="J54" s="118"/>
      <c r="K54" s="2"/>
      <c r="L54" s="2"/>
      <c r="M54" s="2"/>
    </row>
    <row r="55" spans="2:13" ht="14.55" customHeight="1" x14ac:dyDescent="0.3">
      <c r="B55" s="276" t="s">
        <v>7</v>
      </c>
      <c r="C55" s="62"/>
      <c r="D55" s="64"/>
      <c r="E55" s="64"/>
      <c r="F55" s="64"/>
      <c r="G55" s="64"/>
      <c r="H55" s="80"/>
      <c r="I55" s="133"/>
      <c r="J55" s="118"/>
      <c r="K55" s="2"/>
      <c r="L55" s="2"/>
      <c r="M55" s="2"/>
    </row>
    <row r="56" spans="2:13" ht="14.55" customHeight="1" x14ac:dyDescent="0.3">
      <c r="B56" s="277"/>
      <c r="C56" s="266" t="s">
        <v>160</v>
      </c>
      <c r="D56" s="267"/>
      <c r="E56" s="267"/>
      <c r="F56" s="267"/>
      <c r="G56" s="267"/>
      <c r="H56" s="268"/>
      <c r="I56" s="124">
        <v>2.21</v>
      </c>
      <c r="J56" s="118"/>
      <c r="K56" s="257"/>
      <c r="L56" s="2"/>
      <c r="M56" s="2"/>
    </row>
    <row r="57" spans="2:13" ht="14.55" customHeight="1" x14ac:dyDescent="0.3">
      <c r="B57" s="277"/>
      <c r="C57" s="274"/>
      <c r="D57" s="275"/>
      <c r="E57" s="275"/>
      <c r="F57" s="67"/>
      <c r="G57" s="90"/>
      <c r="H57" s="66"/>
      <c r="I57" s="133"/>
      <c r="J57" s="118"/>
      <c r="K57" s="2"/>
      <c r="L57" s="2"/>
      <c r="M57" s="2"/>
    </row>
    <row r="58" spans="2:13" ht="14.55" customHeight="1" x14ac:dyDescent="0.3">
      <c r="B58" s="278"/>
      <c r="C58" s="88"/>
      <c r="D58" s="94"/>
      <c r="E58" s="94"/>
      <c r="F58" s="91"/>
      <c r="G58" s="95"/>
      <c r="H58" s="96"/>
      <c r="I58" s="133"/>
      <c r="J58" s="118"/>
      <c r="K58" s="2"/>
      <c r="L58" s="2"/>
      <c r="M58" s="2"/>
    </row>
    <row r="59" spans="2:13" ht="14.55" customHeight="1" x14ac:dyDescent="0.3">
      <c r="B59" s="276" t="s">
        <v>8</v>
      </c>
      <c r="C59" s="62"/>
      <c r="D59" s="64"/>
      <c r="E59" s="64"/>
      <c r="F59" s="64"/>
      <c r="G59" s="64"/>
      <c r="H59" s="80"/>
      <c r="I59" s="134"/>
      <c r="J59" s="118"/>
    </row>
    <row r="60" spans="2:13" ht="14.55" customHeight="1" x14ac:dyDescent="0.3">
      <c r="B60" s="277"/>
      <c r="C60" s="266" t="s">
        <v>163</v>
      </c>
      <c r="D60" s="267"/>
      <c r="E60" s="267"/>
      <c r="F60" s="267"/>
      <c r="G60" s="267"/>
      <c r="H60" s="268"/>
      <c r="I60" s="124">
        <v>43.2</v>
      </c>
      <c r="J60" s="118"/>
      <c r="K60" s="260"/>
    </row>
    <row r="61" spans="2:13" ht="14.55" customHeight="1" x14ac:dyDescent="0.3">
      <c r="B61" s="277"/>
      <c r="C61" s="274"/>
      <c r="D61" s="275"/>
      <c r="E61" s="275"/>
      <c r="G61" s="90"/>
      <c r="H61" s="66"/>
      <c r="I61" s="127"/>
      <c r="J61" s="118"/>
    </row>
    <row r="62" spans="2:13" ht="14.55" customHeight="1" x14ac:dyDescent="0.3">
      <c r="B62" s="278"/>
      <c r="C62" s="97"/>
      <c r="D62" s="98"/>
      <c r="E62" s="99"/>
      <c r="F62" s="100"/>
      <c r="G62" s="101"/>
      <c r="H62" s="102"/>
      <c r="I62" s="262"/>
      <c r="J62" s="118"/>
    </row>
    <row r="63" spans="2:13" ht="14.55" customHeight="1" x14ac:dyDescent="0.3">
      <c r="B63" s="301" t="s">
        <v>6</v>
      </c>
      <c r="C63" s="103"/>
      <c r="D63" s="64"/>
      <c r="E63" s="64"/>
      <c r="F63" s="64"/>
      <c r="G63" s="64"/>
      <c r="H63" s="64"/>
      <c r="I63" s="134"/>
      <c r="J63" s="118"/>
    </row>
    <row r="64" spans="2:13" ht="14.55" customHeight="1" x14ac:dyDescent="0.3">
      <c r="B64" s="292"/>
      <c r="C64" s="104" t="s">
        <v>85</v>
      </c>
      <c r="D64" s="67"/>
      <c r="E64" s="67"/>
      <c r="F64" s="67"/>
      <c r="G64" s="67"/>
      <c r="H64" s="67"/>
      <c r="I64" s="263"/>
      <c r="J64" s="118"/>
    </row>
    <row r="65" spans="2:18" ht="14.55" customHeight="1" x14ac:dyDescent="0.3">
      <c r="B65" s="292"/>
      <c r="C65" s="269" t="s">
        <v>162</v>
      </c>
      <c r="D65" s="270"/>
      <c r="E65" s="270"/>
      <c r="F65" s="270"/>
      <c r="G65" s="270"/>
      <c r="H65" s="271"/>
      <c r="I65" s="124">
        <f>I40+I44+I48+I52+I56+I60</f>
        <v>540.96</v>
      </c>
      <c r="J65" s="2"/>
      <c r="K65" s="2"/>
      <c r="L65" s="2"/>
      <c r="M65" s="2"/>
    </row>
    <row r="66" spans="2:18" ht="14.55" customHeight="1" x14ac:dyDescent="0.3">
      <c r="B66" s="292"/>
      <c r="C66" s="105"/>
      <c r="D66" s="67"/>
      <c r="E66" s="67"/>
      <c r="G66" s="106"/>
      <c r="H66" s="67"/>
      <c r="I66" s="125" t="s">
        <v>65</v>
      </c>
      <c r="J66" s="59"/>
      <c r="K66" s="2"/>
      <c r="L66" s="2"/>
      <c r="M66" s="2"/>
    </row>
    <row r="67" spans="2:18" ht="14.55" customHeight="1" x14ac:dyDescent="0.3">
      <c r="B67" s="292"/>
      <c r="C67" s="107"/>
      <c r="D67" s="67"/>
      <c r="E67" s="67"/>
      <c r="G67" s="108"/>
      <c r="H67" s="108"/>
      <c r="I67" s="261" t="s">
        <v>61</v>
      </c>
      <c r="J67" s="59"/>
      <c r="K67" s="58"/>
      <c r="L67" s="2"/>
      <c r="M67" s="2"/>
      <c r="N67" s="2"/>
    </row>
    <row r="68" spans="2:18" ht="14.55" customHeight="1" x14ac:dyDescent="0.3">
      <c r="B68" s="293"/>
      <c r="C68" s="109" t="s">
        <v>96</v>
      </c>
      <c r="D68" s="101"/>
      <c r="E68" s="101"/>
      <c r="F68" s="110"/>
      <c r="G68" s="110"/>
      <c r="H68" s="110"/>
      <c r="I68" s="135"/>
      <c r="J68" s="2"/>
      <c r="K68" s="58"/>
      <c r="L68" s="2"/>
      <c r="M68" s="2"/>
      <c r="N68" s="2"/>
    </row>
    <row r="69" spans="2:18" ht="14.55" customHeight="1" x14ac:dyDescent="0.3">
      <c r="B69" s="280" t="s">
        <v>153</v>
      </c>
      <c r="C69" s="111" t="s">
        <v>9</v>
      </c>
      <c r="D69" s="64"/>
      <c r="E69" s="64"/>
      <c r="F69" s="64"/>
      <c r="G69" s="64"/>
      <c r="H69" s="64"/>
      <c r="I69" s="134"/>
      <c r="J69" s="284"/>
      <c r="K69" s="284"/>
      <c r="L69" s="284"/>
      <c r="M69" s="284"/>
      <c r="N69" s="284"/>
      <c r="O69" s="284"/>
      <c r="P69" s="284"/>
      <c r="Q69" s="284"/>
    </row>
    <row r="70" spans="2:18" ht="14.55" customHeight="1" x14ac:dyDescent="0.3">
      <c r="B70" s="281"/>
      <c r="C70" s="285" t="s">
        <v>97</v>
      </c>
      <c r="D70" s="286"/>
      <c r="E70" s="286"/>
      <c r="F70" s="286"/>
      <c r="G70" s="286"/>
      <c r="H70" s="286"/>
      <c r="I70" s="287"/>
      <c r="J70" s="54"/>
      <c r="K70" s="58"/>
      <c r="L70" s="2"/>
      <c r="M70" s="2"/>
      <c r="N70" s="2"/>
      <c r="O70" s="2"/>
      <c r="P70" s="2"/>
    </row>
    <row r="71" spans="2:18" ht="14.55" customHeight="1" x14ac:dyDescent="0.3">
      <c r="B71" s="281"/>
      <c r="C71" s="65"/>
      <c r="D71" s="112"/>
      <c r="E71" s="112"/>
      <c r="F71" s="112"/>
      <c r="G71" s="112"/>
      <c r="H71" s="112"/>
      <c r="I71" s="136"/>
      <c r="J71" s="54"/>
      <c r="K71" s="58"/>
      <c r="L71" s="2"/>
      <c r="M71" s="2"/>
      <c r="N71" s="2"/>
      <c r="O71" s="2"/>
      <c r="P71" s="2"/>
    </row>
    <row r="72" spans="2:18" ht="14.55" customHeight="1" x14ac:dyDescent="0.3">
      <c r="B72" s="281"/>
      <c r="C72" s="296" t="s">
        <v>10</v>
      </c>
      <c r="D72" s="297"/>
      <c r="E72" s="297"/>
      <c r="F72" s="297"/>
      <c r="G72" s="297"/>
      <c r="H72" s="297"/>
      <c r="I72" s="298"/>
      <c r="J72" s="53"/>
      <c r="K72" s="53"/>
      <c r="L72" s="53"/>
      <c r="M72" s="53"/>
      <c r="N72" s="53"/>
      <c r="O72" s="53"/>
      <c r="P72" s="53"/>
      <c r="Q72" s="53"/>
      <c r="R72" s="53"/>
    </row>
    <row r="73" spans="2:18" ht="14.55" customHeight="1" x14ac:dyDescent="0.3">
      <c r="B73" s="281"/>
      <c r="C73" s="288" t="s">
        <v>30</v>
      </c>
      <c r="D73" s="289"/>
      <c r="E73" s="289"/>
      <c r="F73" s="289"/>
      <c r="G73" s="289"/>
      <c r="H73" s="289"/>
      <c r="I73" s="290"/>
      <c r="J73" s="53"/>
      <c r="K73" s="53"/>
      <c r="L73" s="53"/>
      <c r="M73" s="53"/>
      <c r="N73" s="53"/>
      <c r="O73" s="53"/>
      <c r="P73" s="53"/>
      <c r="Q73" s="53"/>
      <c r="R73" s="53"/>
    </row>
    <row r="74" spans="2:18" ht="14.55" customHeight="1" x14ac:dyDescent="0.3">
      <c r="B74" s="281"/>
      <c r="C74" s="79" t="s">
        <v>98</v>
      </c>
      <c r="D74" s="112"/>
      <c r="E74" s="112"/>
      <c r="F74" s="112"/>
      <c r="G74" s="112"/>
      <c r="H74" s="112"/>
      <c r="I74" s="136"/>
      <c r="J74" s="2"/>
      <c r="K74" s="2"/>
      <c r="L74" s="2"/>
      <c r="M74" s="2"/>
      <c r="N74" s="2"/>
      <c r="O74" s="2"/>
      <c r="P74" s="2"/>
    </row>
    <row r="75" spans="2:18" ht="14.55" customHeight="1" x14ac:dyDescent="0.3">
      <c r="B75" s="281"/>
      <c r="C75" s="79" t="s">
        <v>99</v>
      </c>
      <c r="D75" s="112"/>
      <c r="E75" s="112"/>
      <c r="F75" s="112"/>
      <c r="G75" s="112"/>
      <c r="H75" s="112"/>
      <c r="I75" s="136"/>
      <c r="J75" s="2"/>
      <c r="K75" s="2"/>
      <c r="L75" s="2"/>
      <c r="M75" s="2"/>
      <c r="N75" s="2"/>
      <c r="O75" s="2"/>
      <c r="P75" s="2"/>
    </row>
    <row r="76" spans="2:18" ht="14.55" customHeight="1" x14ac:dyDescent="0.3">
      <c r="B76" s="281"/>
      <c r="C76" s="79" t="s">
        <v>79</v>
      </c>
      <c r="D76" s="112"/>
      <c r="E76" s="112"/>
      <c r="F76" s="112"/>
      <c r="G76" s="112"/>
      <c r="H76" s="112"/>
      <c r="I76" s="136"/>
      <c r="J76" s="2"/>
      <c r="K76" s="2"/>
      <c r="L76" s="2"/>
      <c r="M76" s="2"/>
      <c r="N76" s="2"/>
      <c r="O76" s="2"/>
      <c r="P76" s="2"/>
    </row>
    <row r="77" spans="2:18" ht="14.55" customHeight="1" x14ac:dyDescent="0.3">
      <c r="B77" s="281"/>
      <c r="C77" s="79" t="s">
        <v>80</v>
      </c>
      <c r="D77" s="112"/>
      <c r="E77" s="112"/>
      <c r="F77" s="112"/>
      <c r="G77" s="112"/>
      <c r="H77" s="112"/>
      <c r="I77" s="136"/>
      <c r="J77" s="2"/>
      <c r="K77" s="2"/>
      <c r="L77" s="2"/>
      <c r="M77" s="2"/>
      <c r="N77" s="2"/>
      <c r="O77" s="2"/>
      <c r="P77" s="2"/>
    </row>
    <row r="78" spans="2:18" ht="14.55" customHeight="1" x14ac:dyDescent="0.3">
      <c r="B78" s="281"/>
      <c r="C78" s="79" t="s">
        <v>100</v>
      </c>
      <c r="D78" s="112"/>
      <c r="E78" s="112"/>
      <c r="F78" s="112"/>
      <c r="G78" s="112"/>
      <c r="H78" s="112"/>
      <c r="I78" s="136"/>
      <c r="J78" s="2"/>
      <c r="K78" s="2"/>
      <c r="L78" s="2"/>
      <c r="M78" s="2"/>
      <c r="N78" s="2"/>
      <c r="O78" s="2"/>
      <c r="P78" s="2"/>
    </row>
    <row r="79" spans="2:18" ht="14.55" customHeight="1" thickBot="1" x14ac:dyDescent="0.35">
      <c r="B79" s="281"/>
      <c r="C79" s="79" t="s">
        <v>101</v>
      </c>
      <c r="D79" s="112"/>
      <c r="E79" s="112"/>
      <c r="F79" s="112"/>
      <c r="G79" s="112"/>
      <c r="H79" s="112"/>
      <c r="I79" s="136"/>
      <c r="J79" s="2"/>
      <c r="K79" s="2"/>
      <c r="L79" s="2"/>
      <c r="M79" s="2"/>
      <c r="N79" s="2"/>
      <c r="O79" s="2"/>
      <c r="P79" s="2"/>
    </row>
    <row r="80" spans="2:18" ht="14.55" customHeight="1" thickTop="1" x14ac:dyDescent="0.3">
      <c r="B80" s="255"/>
      <c r="C80" s="256"/>
      <c r="D80" s="122"/>
      <c r="E80" s="122"/>
      <c r="F80" s="122"/>
      <c r="G80" s="122"/>
      <c r="H80" s="122"/>
      <c r="I80" s="122"/>
      <c r="J80" s="2"/>
      <c r="K80" s="2"/>
      <c r="L80" s="2"/>
      <c r="M80" s="2"/>
      <c r="N80" s="2"/>
      <c r="O80" s="2"/>
      <c r="P80" s="2"/>
    </row>
    <row r="82" spans="2:2" x14ac:dyDescent="0.3">
      <c r="B82" s="264" t="s">
        <v>166</v>
      </c>
    </row>
    <row r="83" spans="2:2" x14ac:dyDescent="0.3">
      <c r="B83" s="264" t="s">
        <v>164</v>
      </c>
    </row>
    <row r="84" spans="2:2" x14ac:dyDescent="0.3">
      <c r="B84"/>
    </row>
    <row r="85" spans="2:2" x14ac:dyDescent="0.3">
      <c r="B85" s="264" t="s">
        <v>165</v>
      </c>
    </row>
  </sheetData>
  <sheetProtection selectLockedCells="1" selectUnlockedCells="1"/>
  <mergeCells count="41">
    <mergeCell ref="J69:Q69"/>
    <mergeCell ref="C70:I70"/>
    <mergeCell ref="C73:I73"/>
    <mergeCell ref="B8:B12"/>
    <mergeCell ref="B25:B34"/>
    <mergeCell ref="C72:I72"/>
    <mergeCell ref="B69:B79"/>
    <mergeCell ref="C41:E41"/>
    <mergeCell ref="B35:B38"/>
    <mergeCell ref="B39:B42"/>
    <mergeCell ref="B43:B46"/>
    <mergeCell ref="B47:B50"/>
    <mergeCell ref="C49:E49"/>
    <mergeCell ref="B63:B68"/>
    <mergeCell ref="C22:H22"/>
    <mergeCell ref="C26:H26"/>
    <mergeCell ref="B2:I2"/>
    <mergeCell ref="B3:I3"/>
    <mergeCell ref="C61:E61"/>
    <mergeCell ref="C45:E45"/>
    <mergeCell ref="C53:E53"/>
    <mergeCell ref="C57:E57"/>
    <mergeCell ref="B51:B54"/>
    <mergeCell ref="B55:B58"/>
    <mergeCell ref="B59:B62"/>
    <mergeCell ref="B4:I4"/>
    <mergeCell ref="B13:B16"/>
    <mergeCell ref="B17:B24"/>
    <mergeCell ref="B6:I6"/>
    <mergeCell ref="C9:H9"/>
    <mergeCell ref="C14:H14"/>
    <mergeCell ref="C18:H18"/>
    <mergeCell ref="C52:H52"/>
    <mergeCell ref="C56:H56"/>
    <mergeCell ref="C60:H60"/>
    <mergeCell ref="C65:H65"/>
    <mergeCell ref="C31:H31"/>
    <mergeCell ref="C36:H36"/>
    <mergeCell ref="C40:H40"/>
    <mergeCell ref="C44:H44"/>
    <mergeCell ref="C48:H48"/>
  </mergeCells>
  <hyperlinks>
    <hyperlink ref="C73" r:id="rId1" display="http://info.portaldasfinancas.gov.pt/pt/informacao_fiscal/codigos_tributarios/cimi/Pages/cimi135i.aspx" xr:uid="{C6F2678F-6CAE-49C2-9B38-231ED01C6E24}"/>
  </hyperlinks>
  <pageMargins left="0.25" right="0.25" top="0.75" bottom="0.75" header="0.3" footer="0.3"/>
  <pageSetup paperSize="9" scale="41" fitToHeight="0" orientation="portrait" r:id="rId2"/>
  <colBreaks count="1" manualBreakCount="1">
    <brk id="5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92E3F-708E-4102-A077-C37C3EF042C6}">
  <dimension ref="B2:J74"/>
  <sheetViews>
    <sheetView showGridLines="0" tabSelected="1" workbookViewId="0">
      <selection activeCell="I76" sqref="I76"/>
    </sheetView>
  </sheetViews>
  <sheetFormatPr defaultRowHeight="14.4" x14ac:dyDescent="0.3"/>
  <cols>
    <col min="1" max="1" width="4" customWidth="1"/>
    <col min="2" max="2" width="25.33203125" customWidth="1"/>
    <col min="3" max="5" width="17.77734375" customWidth="1"/>
    <col min="6" max="6" width="21.44140625" customWidth="1"/>
    <col min="7" max="8" width="17.77734375" customWidth="1"/>
    <col min="9" max="9" width="20.44140625" customWidth="1"/>
    <col min="10" max="10" width="10.77734375" bestFit="1" customWidth="1"/>
  </cols>
  <sheetData>
    <row r="2" spans="2:10" ht="17.399999999999999" x14ac:dyDescent="0.3">
      <c r="B2" s="331" t="s">
        <v>109</v>
      </c>
      <c r="C2" s="332"/>
      <c r="D2" s="332"/>
      <c r="E2" s="332"/>
      <c r="F2" s="332"/>
      <c r="G2" s="332"/>
      <c r="H2" s="332"/>
      <c r="I2" s="332"/>
      <c r="J2" s="333"/>
    </row>
    <row r="3" spans="2:10" x14ac:dyDescent="0.3">
      <c r="B3" s="3"/>
      <c r="C3" s="2"/>
      <c r="D3" s="2"/>
      <c r="E3" s="2"/>
      <c r="F3" s="2"/>
      <c r="G3" s="2"/>
      <c r="H3" s="2"/>
      <c r="I3" s="2"/>
      <c r="J3" s="1"/>
    </row>
    <row r="4" spans="2:10" x14ac:dyDescent="0.3">
      <c r="B4" s="334" t="s">
        <v>31</v>
      </c>
      <c r="C4" s="335"/>
      <c r="D4" s="335"/>
      <c r="E4" s="335"/>
      <c r="F4" s="335"/>
      <c r="G4" s="335"/>
      <c r="H4" s="335"/>
      <c r="I4" s="335"/>
      <c r="J4" s="336"/>
    </row>
    <row r="5" spans="2:10" x14ac:dyDescent="0.3">
      <c r="B5" s="24"/>
      <c r="C5" s="25"/>
      <c r="D5" s="25"/>
      <c r="E5" s="25"/>
      <c r="F5" s="25"/>
      <c r="G5" s="25"/>
      <c r="H5" s="25"/>
      <c r="I5" s="25"/>
      <c r="J5" s="137"/>
    </row>
    <row r="6" spans="2:10" x14ac:dyDescent="0.3">
      <c r="B6" s="337" t="s">
        <v>40</v>
      </c>
      <c r="C6" s="338"/>
      <c r="D6" s="338"/>
      <c r="E6" s="338"/>
      <c r="F6" s="338"/>
      <c r="G6" s="338"/>
      <c r="H6" s="338"/>
      <c r="I6" s="338"/>
      <c r="J6" s="339"/>
    </row>
    <row r="7" spans="2:10" x14ac:dyDescent="0.3">
      <c r="B7" s="23"/>
      <c r="C7" s="25"/>
      <c r="D7" s="25"/>
      <c r="E7" s="25"/>
      <c r="F7" s="25"/>
      <c r="G7" s="25"/>
      <c r="H7" s="25"/>
      <c r="I7" s="25"/>
      <c r="J7" s="137"/>
    </row>
    <row r="8" spans="2:10" ht="21" x14ac:dyDescent="0.3">
      <c r="B8" s="144" t="s">
        <v>20</v>
      </c>
      <c r="C8" s="145"/>
      <c r="D8" s="145"/>
      <c r="E8" s="8"/>
      <c r="F8" s="8"/>
      <c r="G8" s="8"/>
      <c r="H8" s="8"/>
      <c r="I8" s="2"/>
      <c r="J8" s="1"/>
    </row>
    <row r="9" spans="2:10" ht="15.6" x14ac:dyDescent="0.3">
      <c r="B9" s="35" t="s">
        <v>13</v>
      </c>
      <c r="C9" s="2"/>
      <c r="D9" s="2"/>
      <c r="E9" s="2"/>
      <c r="F9" s="2"/>
      <c r="G9" s="2"/>
      <c r="H9" s="2"/>
      <c r="I9" s="2"/>
      <c r="J9" s="1"/>
    </row>
    <row r="10" spans="2:10" x14ac:dyDescent="0.3">
      <c r="B10" s="34" t="s">
        <v>12</v>
      </c>
      <c r="C10" s="2"/>
      <c r="D10" s="2"/>
      <c r="E10" s="2"/>
      <c r="F10" s="2"/>
      <c r="G10" s="2"/>
      <c r="H10" s="2"/>
      <c r="I10" s="2"/>
      <c r="J10" s="1"/>
    </row>
    <row r="11" spans="2:10" x14ac:dyDescent="0.3">
      <c r="B11" s="6" t="s">
        <v>22</v>
      </c>
      <c r="C11" s="2"/>
      <c r="D11" s="2"/>
      <c r="E11" s="2"/>
      <c r="F11" s="2"/>
      <c r="G11" s="2"/>
      <c r="H11" s="2"/>
      <c r="I11" s="2"/>
      <c r="J11" s="1"/>
    </row>
    <row r="12" spans="2:10" ht="15.6" x14ac:dyDescent="0.3">
      <c r="B12" s="6" t="s">
        <v>95</v>
      </c>
      <c r="C12" s="2"/>
      <c r="D12" s="2"/>
      <c r="E12" s="2"/>
      <c r="F12" s="2"/>
      <c r="G12" s="46">
        <v>144</v>
      </c>
      <c r="H12" s="2"/>
      <c r="I12" s="2"/>
      <c r="J12" s="1"/>
    </row>
    <row r="13" spans="2:10" x14ac:dyDescent="0.3">
      <c r="B13" s="6" t="s">
        <v>23</v>
      </c>
      <c r="C13" s="2"/>
      <c r="D13" s="2"/>
      <c r="E13" s="2"/>
      <c r="F13" s="2"/>
      <c r="G13" s="2"/>
      <c r="H13" s="2"/>
      <c r="I13" s="2"/>
      <c r="J13" s="1"/>
    </row>
    <row r="14" spans="2:10" ht="15.6" x14ac:dyDescent="0.3">
      <c r="B14" s="6" t="s">
        <v>75</v>
      </c>
      <c r="C14" s="2"/>
      <c r="D14" s="2"/>
      <c r="E14" s="2"/>
      <c r="F14" s="2"/>
      <c r="G14" s="26"/>
      <c r="H14" s="2"/>
      <c r="I14" s="340">
        <v>2990</v>
      </c>
      <c r="J14" s="341"/>
    </row>
    <row r="15" spans="2:10" x14ac:dyDescent="0.3">
      <c r="B15" s="6" t="s">
        <v>24</v>
      </c>
      <c r="C15" s="2"/>
      <c r="D15" s="2"/>
      <c r="E15" s="2"/>
      <c r="F15" s="2"/>
      <c r="G15" s="2"/>
      <c r="H15" s="2"/>
      <c r="I15" s="2"/>
      <c r="J15" s="1"/>
    </row>
    <row r="16" spans="2:10" x14ac:dyDescent="0.3">
      <c r="B16" s="6" t="s">
        <v>25</v>
      </c>
      <c r="C16" s="2"/>
      <c r="D16" s="2"/>
      <c r="E16" s="2"/>
      <c r="F16" s="2"/>
      <c r="G16" s="2"/>
      <c r="H16" s="2"/>
      <c r="I16" s="2"/>
      <c r="J16" s="1"/>
    </row>
    <row r="17" spans="2:10" x14ac:dyDescent="0.3">
      <c r="B17" s="7" t="s">
        <v>53</v>
      </c>
      <c r="C17" s="2"/>
      <c r="D17" s="2"/>
      <c r="E17" s="2"/>
      <c r="F17" s="2"/>
      <c r="G17" s="2"/>
      <c r="H17" s="2"/>
      <c r="I17" s="2"/>
      <c r="J17" s="1"/>
    </row>
    <row r="18" spans="2:10" x14ac:dyDescent="0.3">
      <c r="B18" s="6" t="s">
        <v>86</v>
      </c>
      <c r="C18" s="2"/>
      <c r="D18" s="2"/>
      <c r="E18" s="10">
        <v>0</v>
      </c>
      <c r="F18" s="33" t="s">
        <v>115</v>
      </c>
      <c r="G18" s="2"/>
      <c r="H18" s="2"/>
      <c r="I18" s="2"/>
      <c r="J18" s="1"/>
    </row>
    <row r="19" spans="2:10" x14ac:dyDescent="0.3">
      <c r="B19" s="6" t="s">
        <v>87</v>
      </c>
      <c r="C19" s="2"/>
      <c r="D19" s="2"/>
      <c r="E19" s="10">
        <v>500</v>
      </c>
      <c r="F19" s="19" t="s">
        <v>44</v>
      </c>
      <c r="G19" s="2"/>
      <c r="H19" s="2"/>
      <c r="I19" s="2"/>
      <c r="J19" s="1"/>
    </row>
    <row r="20" spans="2:10" x14ac:dyDescent="0.3">
      <c r="B20" s="6" t="s">
        <v>59</v>
      </c>
      <c r="C20" s="2"/>
      <c r="D20" s="2"/>
      <c r="E20" s="10">
        <v>0</v>
      </c>
      <c r="F20" s="33" t="s">
        <v>108</v>
      </c>
      <c r="G20" s="2"/>
      <c r="H20" s="2"/>
      <c r="I20" s="2"/>
      <c r="J20" s="1"/>
    </row>
    <row r="21" spans="2:10" x14ac:dyDescent="0.3">
      <c r="B21" s="6" t="s">
        <v>110</v>
      </c>
      <c r="C21" s="2"/>
      <c r="D21" s="10"/>
      <c r="E21" s="10">
        <v>300</v>
      </c>
      <c r="F21" s="20" t="s">
        <v>45</v>
      </c>
      <c r="G21" s="2"/>
      <c r="H21" s="2"/>
      <c r="I21" s="2"/>
      <c r="J21" s="1"/>
    </row>
    <row r="22" spans="2:10" x14ac:dyDescent="0.3">
      <c r="B22" s="6" t="s">
        <v>111</v>
      </c>
      <c r="C22" s="2"/>
      <c r="D22" s="2"/>
      <c r="E22" s="10">
        <v>375</v>
      </c>
      <c r="F22" s="20" t="s">
        <v>46</v>
      </c>
      <c r="G22" s="2"/>
      <c r="H22" s="2"/>
      <c r="I22" s="2"/>
      <c r="J22" s="1"/>
    </row>
    <row r="23" spans="2:10" x14ac:dyDescent="0.3">
      <c r="B23" s="6" t="s">
        <v>112</v>
      </c>
      <c r="C23" s="2"/>
      <c r="D23" s="2"/>
      <c r="E23" s="10">
        <v>150</v>
      </c>
      <c r="F23" s="20" t="s">
        <v>47</v>
      </c>
      <c r="G23" s="2"/>
      <c r="H23" s="2"/>
      <c r="I23" s="2"/>
      <c r="J23" s="1"/>
    </row>
    <row r="24" spans="2:10" x14ac:dyDescent="0.3">
      <c r="B24" s="42" t="s">
        <v>55</v>
      </c>
      <c r="C24" s="43"/>
      <c r="D24" s="43"/>
      <c r="E24" s="51">
        <f>SUM(E18:E23)+G12</f>
        <v>1469</v>
      </c>
      <c r="F24" s="342" t="s">
        <v>62</v>
      </c>
      <c r="G24" s="343"/>
      <c r="H24" s="344"/>
      <c r="I24" s="323">
        <f>E24</f>
        <v>1469</v>
      </c>
      <c r="J24" s="324"/>
    </row>
    <row r="25" spans="2:10" ht="21" x14ac:dyDescent="0.3">
      <c r="B25" s="146" t="s">
        <v>21</v>
      </c>
      <c r="C25" s="147"/>
      <c r="D25" s="147"/>
      <c r="E25" s="9"/>
      <c r="F25" s="9"/>
      <c r="G25" s="9"/>
      <c r="H25" s="9"/>
      <c r="I25" s="9"/>
      <c r="J25" s="140"/>
    </row>
    <row r="26" spans="2:10" ht="15.6" x14ac:dyDescent="0.3">
      <c r="B26" s="35" t="s">
        <v>14</v>
      </c>
      <c r="C26" s="2"/>
      <c r="D26" s="2"/>
      <c r="E26" s="2"/>
      <c r="F26" s="2"/>
      <c r="G26" s="10"/>
      <c r="H26" s="2"/>
      <c r="I26" s="2"/>
      <c r="J26" s="1"/>
    </row>
    <row r="27" spans="2:10" x14ac:dyDescent="0.3">
      <c r="B27" s="34" t="s">
        <v>12</v>
      </c>
      <c r="C27" s="2"/>
      <c r="D27" s="2"/>
      <c r="E27" s="2"/>
      <c r="F27" s="2"/>
      <c r="G27" s="2"/>
      <c r="H27" s="2"/>
      <c r="I27" s="2"/>
      <c r="J27" s="1"/>
    </row>
    <row r="28" spans="2:10" x14ac:dyDescent="0.3">
      <c r="B28" s="6" t="s">
        <v>67</v>
      </c>
      <c r="C28" s="2"/>
      <c r="D28" s="2"/>
      <c r="E28" s="2"/>
      <c r="F28" s="2"/>
      <c r="G28" s="2"/>
      <c r="H28" s="2"/>
      <c r="I28" s="2"/>
      <c r="J28" s="1"/>
    </row>
    <row r="29" spans="2:10" x14ac:dyDescent="0.3">
      <c r="B29" s="6" t="s">
        <v>26</v>
      </c>
      <c r="C29" s="2"/>
      <c r="D29" s="2"/>
      <c r="E29" s="2"/>
      <c r="F29" s="2"/>
      <c r="G29" s="2"/>
      <c r="H29" s="2"/>
      <c r="I29" s="2"/>
      <c r="J29" s="1"/>
    </row>
    <row r="30" spans="2:10" x14ac:dyDescent="0.3">
      <c r="B30" s="6" t="s">
        <v>29</v>
      </c>
      <c r="C30" s="2"/>
      <c r="D30" s="2"/>
      <c r="E30" s="2"/>
      <c r="F30" s="2"/>
      <c r="G30" s="2"/>
      <c r="H30" s="2"/>
      <c r="I30" s="2"/>
      <c r="J30" s="1"/>
    </row>
    <row r="31" spans="2:10" x14ac:dyDescent="0.3">
      <c r="B31" s="6" t="s">
        <v>27</v>
      </c>
      <c r="C31" s="2"/>
      <c r="D31" s="2"/>
      <c r="E31" s="2"/>
      <c r="F31" s="2"/>
      <c r="G31" s="2"/>
      <c r="H31" s="2"/>
      <c r="I31" s="2"/>
      <c r="J31" s="1"/>
    </row>
    <row r="32" spans="2:10" ht="15.6" x14ac:dyDescent="0.3">
      <c r="B32" s="6" t="s">
        <v>76</v>
      </c>
      <c r="C32" s="2"/>
      <c r="D32" s="2"/>
      <c r="E32" s="2"/>
      <c r="F32" s="2"/>
      <c r="G32" s="26"/>
      <c r="H32" s="2"/>
      <c r="I32" s="318">
        <v>3500</v>
      </c>
      <c r="J32" s="319"/>
    </row>
    <row r="33" spans="2:10" x14ac:dyDescent="0.3">
      <c r="B33" s="6" t="s">
        <v>28</v>
      </c>
      <c r="C33" s="2"/>
      <c r="D33" s="2"/>
      <c r="E33" s="2"/>
      <c r="F33" s="2"/>
      <c r="G33" s="2"/>
      <c r="H33" s="2"/>
      <c r="I33" s="2"/>
      <c r="J33" s="1"/>
    </row>
    <row r="34" spans="2:10" x14ac:dyDescent="0.3">
      <c r="B34" s="7" t="s">
        <v>54</v>
      </c>
      <c r="C34" s="2"/>
      <c r="D34" s="2"/>
      <c r="E34" s="2"/>
      <c r="F34" s="2"/>
      <c r="G34" s="2"/>
      <c r="H34" s="2"/>
      <c r="I34" s="2"/>
      <c r="J34" s="1"/>
    </row>
    <row r="35" spans="2:10" x14ac:dyDescent="0.3">
      <c r="B35" s="6" t="s">
        <v>88</v>
      </c>
      <c r="C35" s="2"/>
      <c r="D35" s="2"/>
      <c r="E35" s="10">
        <v>0</v>
      </c>
      <c r="F35" s="33" t="s">
        <v>115</v>
      </c>
      <c r="G35" s="2"/>
      <c r="H35" s="2"/>
      <c r="I35" s="2"/>
      <c r="J35" s="1"/>
    </row>
    <row r="36" spans="2:10" x14ac:dyDescent="0.3">
      <c r="B36" s="6" t="s">
        <v>68</v>
      </c>
      <c r="C36" s="2"/>
      <c r="D36" s="2"/>
      <c r="E36" s="10">
        <v>600</v>
      </c>
      <c r="F36" s="19" t="s">
        <v>48</v>
      </c>
      <c r="G36" s="2"/>
      <c r="H36" s="2"/>
      <c r="I36" s="2"/>
      <c r="J36" s="1"/>
    </row>
    <row r="37" spans="2:10" x14ac:dyDescent="0.3">
      <c r="B37" s="6" t="s">
        <v>15</v>
      </c>
      <c r="C37" s="2"/>
      <c r="D37" s="2"/>
      <c r="E37" s="10">
        <v>200</v>
      </c>
      <c r="F37" s="19" t="s">
        <v>49</v>
      </c>
      <c r="G37" s="2"/>
      <c r="H37" s="2"/>
      <c r="I37" s="2"/>
      <c r="J37" s="1"/>
    </row>
    <row r="38" spans="2:10" x14ac:dyDescent="0.3">
      <c r="B38" s="6" t="s">
        <v>16</v>
      </c>
      <c r="C38" s="2"/>
      <c r="D38" s="2"/>
      <c r="E38" s="10">
        <v>300</v>
      </c>
      <c r="F38" s="20" t="s">
        <v>50</v>
      </c>
      <c r="G38" s="2"/>
      <c r="H38" s="2"/>
      <c r="I38" s="2"/>
      <c r="J38" s="1"/>
    </row>
    <row r="39" spans="2:10" x14ac:dyDescent="0.3">
      <c r="B39" s="6" t="s">
        <v>17</v>
      </c>
      <c r="C39" s="2"/>
      <c r="D39" s="2"/>
      <c r="E39" s="10">
        <v>900</v>
      </c>
      <c r="F39" s="20" t="s">
        <v>51</v>
      </c>
      <c r="G39" s="2"/>
      <c r="H39" s="2"/>
      <c r="I39" s="2"/>
      <c r="J39" s="1"/>
    </row>
    <row r="40" spans="2:10" x14ac:dyDescent="0.3">
      <c r="B40" s="6" t="s">
        <v>18</v>
      </c>
      <c r="C40" s="2"/>
      <c r="D40" s="2"/>
      <c r="E40" s="10">
        <v>6000</v>
      </c>
      <c r="F40" s="19" t="s">
        <v>52</v>
      </c>
      <c r="G40" s="2"/>
      <c r="H40" s="2"/>
      <c r="I40" s="2"/>
      <c r="J40" s="1"/>
    </row>
    <row r="41" spans="2:10" x14ac:dyDescent="0.3">
      <c r="B41" s="36" t="s">
        <v>56</v>
      </c>
      <c r="C41" s="2"/>
      <c r="D41" s="2"/>
      <c r="E41" s="148">
        <f>SUM(E35:E40)</f>
        <v>8000</v>
      </c>
      <c r="F41" s="320" t="s">
        <v>62</v>
      </c>
      <c r="G41" s="321"/>
      <c r="H41" s="322"/>
      <c r="I41" s="323">
        <f>E41</f>
        <v>8000</v>
      </c>
      <c r="J41" s="324"/>
    </row>
    <row r="42" spans="2:10" x14ac:dyDescent="0.3">
      <c r="B42" s="150"/>
      <c r="C42" s="151"/>
      <c r="D42" s="151"/>
      <c r="E42" s="151"/>
      <c r="F42" s="151"/>
      <c r="G42" s="151"/>
      <c r="H42" s="151"/>
      <c r="I42" s="139"/>
      <c r="J42" s="141"/>
    </row>
    <row r="43" spans="2:10" ht="15.6" x14ac:dyDescent="0.3">
      <c r="B43" s="12" t="s">
        <v>57</v>
      </c>
      <c r="C43" s="2"/>
      <c r="D43" s="13">
        <f>E24</f>
        <v>1469</v>
      </c>
      <c r="E43" s="13"/>
      <c r="F43" s="2"/>
      <c r="G43" s="2"/>
      <c r="H43" s="2"/>
      <c r="I43" s="2"/>
      <c r="J43" s="1"/>
    </row>
    <row r="44" spans="2:10" ht="15.6" x14ac:dyDescent="0.3">
      <c r="B44" s="12" t="s">
        <v>58</v>
      </c>
      <c r="C44" s="2"/>
      <c r="D44" s="13">
        <f>E41</f>
        <v>8000</v>
      </c>
      <c r="E44" s="13"/>
      <c r="F44" s="2"/>
      <c r="G44" s="2"/>
      <c r="H44" s="2"/>
      <c r="I44" s="2"/>
      <c r="J44" s="1"/>
    </row>
    <row r="45" spans="2:10" ht="15.6" x14ac:dyDescent="0.3">
      <c r="B45" s="325" t="s">
        <v>19</v>
      </c>
      <c r="C45" s="326"/>
      <c r="D45" s="138">
        <f>SUM(D43:D44)</f>
        <v>9469</v>
      </c>
      <c r="E45" s="327" t="s">
        <v>63</v>
      </c>
      <c r="F45" s="328"/>
      <c r="G45" s="47">
        <f>D45</f>
        <v>9469</v>
      </c>
      <c r="H45" s="2"/>
      <c r="I45" s="2"/>
      <c r="J45" s="1"/>
    </row>
    <row r="46" spans="2:10" x14ac:dyDescent="0.3">
      <c r="B46" s="3"/>
      <c r="C46" s="2"/>
      <c r="D46" s="2"/>
      <c r="E46" s="2"/>
      <c r="F46" s="2"/>
      <c r="G46" s="2"/>
      <c r="H46" s="2"/>
      <c r="I46" s="2"/>
      <c r="J46" s="1"/>
    </row>
    <row r="47" spans="2:10" ht="15.6" x14ac:dyDescent="0.3">
      <c r="B47" s="21"/>
      <c r="C47" s="22"/>
      <c r="D47" s="22"/>
      <c r="E47" s="22"/>
      <c r="F47" s="22"/>
      <c r="G47" s="22"/>
      <c r="H47" s="22"/>
      <c r="I47" s="22"/>
      <c r="J47" s="142"/>
    </row>
    <row r="49" spans="2:10" x14ac:dyDescent="0.3">
      <c r="B49" s="329" t="s">
        <v>116</v>
      </c>
      <c r="C49" s="330"/>
      <c r="D49" s="152">
        <f>4104/0.15</f>
        <v>27360</v>
      </c>
      <c r="E49" s="153" t="s">
        <v>117</v>
      </c>
      <c r="F49" s="154"/>
      <c r="G49" s="154"/>
      <c r="H49" s="10"/>
    </row>
    <row r="51" spans="2:10" x14ac:dyDescent="0.3">
      <c r="B51" s="308" t="s">
        <v>113</v>
      </c>
      <c r="C51" s="309"/>
      <c r="D51" s="309"/>
      <c r="E51" s="310"/>
      <c r="G51" s="2"/>
      <c r="H51" s="2"/>
      <c r="I51" s="2"/>
      <c r="J51" s="2"/>
    </row>
    <row r="52" spans="2:10" x14ac:dyDescent="0.3">
      <c r="B52" s="16"/>
      <c r="C52" s="55"/>
      <c r="D52" s="55"/>
      <c r="E52" s="17"/>
      <c r="G52" s="10"/>
      <c r="H52" s="10"/>
      <c r="I52" s="10"/>
      <c r="J52" s="10"/>
    </row>
    <row r="53" spans="2:10" x14ac:dyDescent="0.3">
      <c r="B53" s="311" t="s">
        <v>33</v>
      </c>
      <c r="C53" s="312"/>
      <c r="D53" s="312" t="s">
        <v>33</v>
      </c>
      <c r="E53" s="313"/>
      <c r="G53" s="10"/>
      <c r="H53" s="10"/>
      <c r="I53" s="10"/>
      <c r="J53" s="10"/>
    </row>
    <row r="54" spans="2:10" x14ac:dyDescent="0.3">
      <c r="B54" s="314" t="s">
        <v>34</v>
      </c>
      <c r="C54" s="315"/>
      <c r="D54" s="315" t="s">
        <v>32</v>
      </c>
      <c r="E54" s="316"/>
      <c r="G54" s="10"/>
      <c r="H54" s="10"/>
      <c r="I54" s="10"/>
      <c r="J54" s="10"/>
    </row>
    <row r="55" spans="2:10" x14ac:dyDescent="0.3">
      <c r="B55" s="32" t="s">
        <v>35</v>
      </c>
      <c r="C55" s="57">
        <v>40000</v>
      </c>
      <c r="D55" s="27" t="s">
        <v>41</v>
      </c>
      <c r="E55" s="48">
        <f>C55*0.75</f>
        <v>30000</v>
      </c>
      <c r="F55" s="28" t="s">
        <v>36</v>
      </c>
      <c r="H55" s="2"/>
      <c r="I55" s="2"/>
      <c r="J55" s="2"/>
    </row>
    <row r="56" spans="2:10" x14ac:dyDescent="0.3">
      <c r="B56" s="32" t="s">
        <v>43</v>
      </c>
      <c r="C56" s="57">
        <v>50000</v>
      </c>
      <c r="D56" s="27" t="s">
        <v>42</v>
      </c>
      <c r="E56" s="48">
        <f>C56*0.35</f>
        <v>17500</v>
      </c>
      <c r="F56" s="29" t="s">
        <v>37</v>
      </c>
      <c r="H56" s="10"/>
      <c r="I56" s="10"/>
      <c r="J56" s="10"/>
    </row>
    <row r="57" spans="2:10" x14ac:dyDescent="0.3">
      <c r="B57" s="14" t="s">
        <v>39</v>
      </c>
      <c r="C57" s="49">
        <f>SUM(C55:C56)</f>
        <v>90000</v>
      </c>
      <c r="D57" s="56"/>
      <c r="E57" s="50">
        <f>SUM(E55:E56)</f>
        <v>47500</v>
      </c>
      <c r="F57" s="30" t="s">
        <v>38</v>
      </c>
      <c r="H57" s="10"/>
      <c r="I57" s="10"/>
      <c r="J57" s="10"/>
    </row>
    <row r="58" spans="2:10" ht="21" x14ac:dyDescent="0.3">
      <c r="B58" s="302" t="s">
        <v>151</v>
      </c>
      <c r="C58" s="303"/>
      <c r="D58" s="303"/>
      <c r="E58" s="45">
        <f>(C57*0.15)-4104</f>
        <v>9396</v>
      </c>
      <c r="F58" s="31" t="s">
        <v>69</v>
      </c>
      <c r="I58" s="10"/>
      <c r="J58" s="10"/>
    </row>
    <row r="59" spans="2:10" x14ac:dyDescent="0.3">
      <c r="B59" s="317" t="s">
        <v>150</v>
      </c>
      <c r="C59" s="305"/>
      <c r="D59" s="305"/>
      <c r="E59" s="45">
        <f>D45</f>
        <v>9469</v>
      </c>
      <c r="F59" s="15" t="s">
        <v>66</v>
      </c>
      <c r="I59" s="2"/>
      <c r="J59" s="2"/>
    </row>
    <row r="60" spans="2:10" ht="15.6" x14ac:dyDescent="0.3">
      <c r="B60" s="306" t="s">
        <v>74</v>
      </c>
      <c r="C60" s="307"/>
      <c r="D60" s="307"/>
      <c r="E60" s="143">
        <f>IF(E59&gt;=E58,E57,(E57+E58)-E59)</f>
        <v>47500</v>
      </c>
      <c r="F60" s="15" t="s">
        <v>72</v>
      </c>
      <c r="I60" s="10"/>
      <c r="J60" s="10"/>
    </row>
    <row r="61" spans="2:10" x14ac:dyDescent="0.3">
      <c r="B61" s="365" t="s">
        <v>171</v>
      </c>
      <c r="G61" s="366">
        <f>E60/C57</f>
        <v>0.52777777777777779</v>
      </c>
      <c r="J61" s="18"/>
    </row>
    <row r="62" spans="2:10" x14ac:dyDescent="0.3">
      <c r="B62" s="365"/>
      <c r="J62" s="18"/>
    </row>
    <row r="63" spans="2:10" x14ac:dyDescent="0.3">
      <c r="J63" s="18"/>
    </row>
    <row r="64" spans="2:10" x14ac:dyDescent="0.3">
      <c r="B64" s="308" t="s">
        <v>114</v>
      </c>
      <c r="C64" s="309"/>
      <c r="D64" s="309"/>
      <c r="E64" s="310"/>
      <c r="F64" s="149"/>
    </row>
    <row r="65" spans="2:7" x14ac:dyDescent="0.3">
      <c r="B65" s="16"/>
      <c r="C65" s="55"/>
      <c r="D65" s="55"/>
      <c r="E65" s="17"/>
    </row>
    <row r="66" spans="2:7" x14ac:dyDescent="0.3">
      <c r="B66" s="311" t="s">
        <v>33</v>
      </c>
      <c r="C66" s="312"/>
      <c r="D66" s="312" t="s">
        <v>33</v>
      </c>
      <c r="E66" s="313"/>
    </row>
    <row r="67" spans="2:7" x14ac:dyDescent="0.3">
      <c r="B67" s="314" t="s">
        <v>34</v>
      </c>
      <c r="C67" s="315"/>
      <c r="D67" s="315" t="s">
        <v>32</v>
      </c>
      <c r="E67" s="316"/>
    </row>
    <row r="68" spans="2:7" x14ac:dyDescent="0.3">
      <c r="B68" s="32" t="s">
        <v>35</v>
      </c>
      <c r="C68" s="57">
        <v>15000</v>
      </c>
      <c r="D68" s="27" t="s">
        <v>41</v>
      </c>
      <c r="E68" s="48">
        <f>C68*0.75</f>
        <v>11250</v>
      </c>
      <c r="F68" s="29" t="s">
        <v>36</v>
      </c>
    </row>
    <row r="69" spans="2:7" x14ac:dyDescent="0.3">
      <c r="B69" s="32" t="s">
        <v>43</v>
      </c>
      <c r="C69" s="57">
        <v>15000</v>
      </c>
      <c r="D69" s="27" t="s">
        <v>42</v>
      </c>
      <c r="E69" s="48">
        <f>C69*0.35</f>
        <v>5250</v>
      </c>
      <c r="F69" s="29" t="s">
        <v>37</v>
      </c>
    </row>
    <row r="70" spans="2:7" x14ac:dyDescent="0.3">
      <c r="B70" s="14" t="s">
        <v>39</v>
      </c>
      <c r="C70" s="49">
        <f>SUM(C68:C69)</f>
        <v>30000</v>
      </c>
      <c r="D70" s="56"/>
      <c r="E70" s="50">
        <f>SUM(E68:E69)</f>
        <v>16500</v>
      </c>
      <c r="F70" s="30" t="s">
        <v>38</v>
      </c>
    </row>
    <row r="71" spans="2:7" ht="21" x14ac:dyDescent="0.3">
      <c r="B71" s="302" t="s">
        <v>152</v>
      </c>
      <c r="C71" s="303"/>
      <c r="D71" s="303"/>
      <c r="E71" s="45">
        <f>(C70*0.15)-4104</f>
        <v>396</v>
      </c>
      <c r="F71" s="31" t="s">
        <v>70</v>
      </c>
    </row>
    <row r="72" spans="2:7" x14ac:dyDescent="0.3">
      <c r="B72" s="304" t="s">
        <v>73</v>
      </c>
      <c r="C72" s="305"/>
      <c r="D72" s="305"/>
      <c r="E72" s="45">
        <v>0</v>
      </c>
      <c r="F72" s="15" t="s">
        <v>66</v>
      </c>
    </row>
    <row r="73" spans="2:7" ht="15.6" x14ac:dyDescent="0.3">
      <c r="B73" s="306" t="s">
        <v>74</v>
      </c>
      <c r="C73" s="307"/>
      <c r="D73" s="307"/>
      <c r="E73" s="143">
        <f>IF(E72&gt;=E71,E70,(E70+E71)-E72)</f>
        <v>16896</v>
      </c>
      <c r="F73" s="15" t="s">
        <v>71</v>
      </c>
    </row>
    <row r="74" spans="2:7" x14ac:dyDescent="0.3">
      <c r="B74" s="365" t="s">
        <v>170</v>
      </c>
      <c r="F74" s="149"/>
      <c r="G74" s="366">
        <f>E73/C70</f>
        <v>0.56320000000000003</v>
      </c>
    </row>
  </sheetData>
  <sheetProtection password="CA5D" sheet="1" objects="1" scenarios="1" selectLockedCells="1" selectUnlockedCells="1"/>
  <mergeCells count="28">
    <mergeCell ref="B2:J2"/>
    <mergeCell ref="B4:J4"/>
    <mergeCell ref="B6:J6"/>
    <mergeCell ref="I14:J14"/>
    <mergeCell ref="F24:H24"/>
    <mergeCell ref="I24:J24"/>
    <mergeCell ref="B59:D59"/>
    <mergeCell ref="I32:J32"/>
    <mergeCell ref="F41:H41"/>
    <mergeCell ref="I41:J41"/>
    <mergeCell ref="B45:C45"/>
    <mergeCell ref="E45:F45"/>
    <mergeCell ref="B51:E51"/>
    <mergeCell ref="B53:C53"/>
    <mergeCell ref="D53:E53"/>
    <mergeCell ref="B54:C54"/>
    <mergeCell ref="D54:E54"/>
    <mergeCell ref="B58:D58"/>
    <mergeCell ref="B49:C49"/>
    <mergeCell ref="B71:D71"/>
    <mergeCell ref="B72:D72"/>
    <mergeCell ref="B73:D73"/>
    <mergeCell ref="B60:D60"/>
    <mergeCell ref="B64:E64"/>
    <mergeCell ref="B66:C66"/>
    <mergeCell ref="D66:E66"/>
    <mergeCell ref="B67:C67"/>
    <mergeCell ref="D67:E6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DB633-77E2-4BBD-A781-2A1B18D1C133}">
  <dimension ref="B2:R49"/>
  <sheetViews>
    <sheetView showGridLines="0" workbookViewId="0">
      <selection activeCell="K17" sqref="K17"/>
    </sheetView>
  </sheetViews>
  <sheetFormatPr defaultRowHeight="14.4" x14ac:dyDescent="0.3"/>
  <cols>
    <col min="1" max="1" width="4" customWidth="1"/>
    <col min="2" max="5" width="11.77734375" customWidth="1"/>
    <col min="6" max="6" width="19.77734375" customWidth="1"/>
    <col min="7" max="8" width="11.77734375" customWidth="1"/>
    <col min="9" max="9" width="4.44140625" customWidth="1"/>
    <col min="10" max="10" width="2.77734375" customWidth="1"/>
    <col min="11" max="11" width="13.109375" customWidth="1"/>
    <col min="12" max="12" width="14.77734375" customWidth="1"/>
    <col min="13" max="13" width="3.77734375" customWidth="1"/>
    <col min="14" max="15" width="9.77734375" customWidth="1"/>
    <col min="16" max="16" width="2.77734375" customWidth="1"/>
    <col min="17" max="17" width="9.77734375" customWidth="1"/>
    <col min="18" max="18" width="15" customWidth="1"/>
  </cols>
  <sheetData>
    <row r="2" spans="2:18" ht="15" thickBot="1" x14ac:dyDescent="0.35"/>
    <row r="3" spans="2:18" ht="18.600000000000001" thickTop="1" x14ac:dyDescent="0.3">
      <c r="B3" s="350" t="s">
        <v>118</v>
      </c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2"/>
    </row>
    <row r="4" spans="2:18" ht="18.600000000000001" thickBot="1" x14ac:dyDescent="0.35">
      <c r="B4" s="353" t="s">
        <v>119</v>
      </c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5"/>
    </row>
    <row r="5" spans="2:18" ht="15" thickTop="1" x14ac:dyDescent="0.3">
      <c r="B5" s="155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7"/>
    </row>
    <row r="6" spans="2:18" ht="15" x14ac:dyDescent="0.3">
      <c r="B6" s="356" t="s">
        <v>120</v>
      </c>
      <c r="C6" s="357"/>
      <c r="D6" s="357"/>
      <c r="E6" s="357"/>
      <c r="F6" s="357"/>
      <c r="G6" s="158" t="s">
        <v>121</v>
      </c>
      <c r="H6" s="358">
        <f>(L9*M9+L10*M10+L11*M11)/3</f>
        <v>0</v>
      </c>
      <c r="I6" s="358"/>
      <c r="J6" s="358"/>
      <c r="K6" s="349" t="s">
        <v>122</v>
      </c>
      <c r="L6" s="349"/>
      <c r="M6" s="349"/>
      <c r="N6" s="349"/>
      <c r="O6" s="349"/>
      <c r="P6" s="349"/>
      <c r="Q6" s="349"/>
      <c r="R6" s="359"/>
    </row>
    <row r="7" spans="2:18" ht="15.6" customHeight="1" x14ac:dyDescent="0.3">
      <c r="B7" s="356"/>
      <c r="C7" s="357"/>
      <c r="D7" s="357"/>
      <c r="E7" s="357"/>
      <c r="F7" s="357"/>
      <c r="G7" s="158" t="s">
        <v>121</v>
      </c>
      <c r="H7" s="358">
        <f>IF(C46&lt;=0,0,(L9*M9+L10*M10+L11*M11+B44+B45-B46-B47)/3)</f>
        <v>0</v>
      </c>
      <c r="I7" s="358"/>
      <c r="J7" s="358"/>
      <c r="K7" s="349" t="s">
        <v>123</v>
      </c>
      <c r="L7" s="349"/>
      <c r="M7" s="349"/>
      <c r="N7" s="349"/>
      <c r="O7" s="349"/>
      <c r="P7" s="349"/>
      <c r="Q7" s="246">
        <f>K17</f>
        <v>0</v>
      </c>
      <c r="R7" s="163"/>
    </row>
    <row r="8" spans="2:18" ht="17.399999999999999" x14ac:dyDescent="0.3">
      <c r="B8" s="159"/>
      <c r="C8" s="160"/>
      <c r="D8" s="161"/>
      <c r="E8" s="162"/>
      <c r="Q8" s="2"/>
      <c r="R8" s="163"/>
    </row>
    <row r="9" spans="2:18" ht="15" customHeight="1" x14ac:dyDescent="0.3">
      <c r="B9" s="164"/>
      <c r="C9" s="165"/>
      <c r="D9" s="162"/>
      <c r="E9" s="162"/>
      <c r="F9" s="166" t="s">
        <v>124</v>
      </c>
      <c r="G9" s="167" t="s">
        <v>125</v>
      </c>
      <c r="H9" s="168"/>
      <c r="I9" s="168"/>
      <c r="J9" s="168"/>
      <c r="K9" s="169"/>
      <c r="L9" s="170">
        <v>0</v>
      </c>
      <c r="M9" s="171">
        <v>0.7</v>
      </c>
      <c r="N9" s="2"/>
      <c r="O9" s="2"/>
      <c r="P9" s="2"/>
      <c r="Q9" s="2"/>
      <c r="R9" s="163"/>
    </row>
    <row r="10" spans="2:18" ht="15" customHeight="1" x14ac:dyDescent="0.3">
      <c r="B10" s="172"/>
      <c r="C10" s="161"/>
      <c r="D10" s="173"/>
      <c r="E10" s="173"/>
      <c r="F10" s="166" t="s">
        <v>124</v>
      </c>
      <c r="G10" s="167" t="s">
        <v>126</v>
      </c>
      <c r="H10" s="168"/>
      <c r="I10" s="168"/>
      <c r="J10" s="168"/>
      <c r="K10" s="169"/>
      <c r="L10" s="174">
        <v>0</v>
      </c>
      <c r="M10" s="171">
        <v>0.2</v>
      </c>
      <c r="N10" s="2"/>
      <c r="O10" s="2"/>
      <c r="P10" s="2"/>
      <c r="Q10" s="2"/>
      <c r="R10" s="163"/>
    </row>
    <row r="11" spans="2:18" ht="15" customHeight="1" x14ac:dyDescent="0.3">
      <c r="B11" s="172"/>
      <c r="C11" s="161"/>
      <c r="D11" s="161"/>
      <c r="E11" s="162"/>
      <c r="F11" s="166" t="s">
        <v>124</v>
      </c>
      <c r="G11" s="167" t="s">
        <v>127</v>
      </c>
      <c r="H11" s="168"/>
      <c r="I11" s="168"/>
      <c r="J11" s="168"/>
      <c r="K11" s="169"/>
      <c r="L11" s="174">
        <v>0</v>
      </c>
      <c r="M11" s="171">
        <v>0.2</v>
      </c>
      <c r="N11" s="2"/>
      <c r="O11" s="2"/>
      <c r="P11" s="10"/>
      <c r="Q11" s="10"/>
      <c r="R11" s="163"/>
    </row>
    <row r="12" spans="2:18" x14ac:dyDescent="0.3">
      <c r="B12" s="172"/>
      <c r="C12" s="161"/>
      <c r="D12" s="161"/>
      <c r="E12" s="161"/>
      <c r="F12" s="175">
        <v>428.9</v>
      </c>
      <c r="G12" s="176" t="s">
        <v>128</v>
      </c>
      <c r="H12" s="2"/>
      <c r="I12" s="2"/>
      <c r="J12" s="2"/>
      <c r="K12" s="2"/>
      <c r="L12" s="161"/>
      <c r="M12" s="175"/>
      <c r="N12" s="177" t="s">
        <v>129</v>
      </c>
      <c r="O12" s="2"/>
      <c r="P12" s="2"/>
      <c r="Q12" s="2"/>
      <c r="R12" s="163"/>
    </row>
    <row r="13" spans="2:18" x14ac:dyDescent="0.3">
      <c r="B13" s="172"/>
      <c r="C13" s="161"/>
      <c r="D13" s="161"/>
      <c r="E13" s="161"/>
      <c r="F13" s="178">
        <f>F12*4</f>
        <v>1715.6</v>
      </c>
      <c r="G13" s="2"/>
      <c r="H13" s="2"/>
      <c r="I13" s="2"/>
      <c r="J13" s="2"/>
      <c r="K13" s="2"/>
      <c r="L13" s="161"/>
      <c r="Q13" s="2"/>
      <c r="R13" s="163"/>
    </row>
    <row r="14" spans="2:18" x14ac:dyDescent="0.3">
      <c r="B14" s="172"/>
      <c r="C14" s="58"/>
      <c r="D14" s="161"/>
      <c r="E14" s="58"/>
      <c r="F14" s="178">
        <f>(F12*12)</f>
        <v>5146.7999999999993</v>
      </c>
      <c r="G14" s="2"/>
      <c r="H14" s="2"/>
      <c r="I14" s="2"/>
      <c r="J14" s="2"/>
      <c r="L14" s="161"/>
      <c r="M14" s="2"/>
      <c r="N14" s="2"/>
      <c r="O14" s="10"/>
      <c r="P14" s="10"/>
      <c r="Q14" s="2"/>
      <c r="R14" s="163"/>
    </row>
    <row r="15" spans="2:18" ht="15.6" x14ac:dyDescent="0.3">
      <c r="B15" s="360" t="s">
        <v>130</v>
      </c>
      <c r="C15" s="361"/>
      <c r="D15" s="361"/>
      <c r="E15" s="362"/>
      <c r="F15" s="179" t="s">
        <v>131</v>
      </c>
      <c r="G15" s="180">
        <f>N24</f>
        <v>0.214</v>
      </c>
      <c r="H15" s="2"/>
      <c r="L15" s="165"/>
      <c r="M15" s="2"/>
      <c r="N15" s="10"/>
      <c r="O15" s="10"/>
      <c r="P15" s="10"/>
      <c r="Q15" s="10"/>
      <c r="R15" s="163"/>
    </row>
    <row r="16" spans="2:18" ht="17.399999999999999" x14ac:dyDescent="0.3">
      <c r="B16" s="363" t="s">
        <v>132</v>
      </c>
      <c r="C16" s="364"/>
      <c r="D16" s="364"/>
      <c r="E16" s="364"/>
      <c r="F16" s="364"/>
      <c r="G16" s="364"/>
      <c r="H16" s="181">
        <f>F12</f>
        <v>428.9</v>
      </c>
      <c r="I16" s="182" t="s">
        <v>133</v>
      </c>
      <c r="J16" s="183"/>
      <c r="K16" s="184" t="s">
        <v>134</v>
      </c>
      <c r="L16" s="185" t="s">
        <v>135</v>
      </c>
      <c r="M16" s="2"/>
      <c r="N16" s="2"/>
      <c r="O16" s="10"/>
      <c r="P16" s="2"/>
      <c r="Q16" s="2"/>
      <c r="R16" s="163"/>
    </row>
    <row r="17" spans="2:18" ht="15.6" x14ac:dyDescent="0.3">
      <c r="B17" s="363" t="s">
        <v>136</v>
      </c>
      <c r="C17" s="364"/>
      <c r="D17" s="364"/>
      <c r="E17" s="364"/>
      <c r="F17" s="364"/>
      <c r="G17" s="364"/>
      <c r="H17" s="364"/>
      <c r="I17" s="186" t="s">
        <v>137</v>
      </c>
      <c r="J17" s="187"/>
      <c r="K17" s="188">
        <v>0</v>
      </c>
      <c r="L17" s="189" t="s">
        <v>138</v>
      </c>
      <c r="M17" s="2"/>
      <c r="N17" s="2"/>
      <c r="O17" s="10"/>
      <c r="P17" s="2"/>
      <c r="Q17" s="2"/>
      <c r="R17" s="163"/>
    </row>
    <row r="18" spans="2:18" x14ac:dyDescent="0.3">
      <c r="B18" s="190"/>
      <c r="C18" s="191"/>
      <c r="D18" s="191"/>
      <c r="E18" s="191"/>
      <c r="F18" s="191"/>
      <c r="G18" s="191"/>
      <c r="H18" s="192"/>
      <c r="I18" s="191"/>
      <c r="J18" s="191"/>
      <c r="K18" s="2"/>
      <c r="L18" s="2"/>
      <c r="M18" s="2"/>
      <c r="N18" s="2"/>
      <c r="O18" s="2"/>
      <c r="P18" s="2"/>
      <c r="Q18" s="2"/>
      <c r="R18" s="163"/>
    </row>
    <row r="19" spans="2:18" ht="15.6" x14ac:dyDescent="0.3">
      <c r="B19" s="363" t="s">
        <v>139</v>
      </c>
      <c r="C19" s="364"/>
      <c r="D19" s="364"/>
      <c r="E19" s="364"/>
      <c r="F19" s="364"/>
      <c r="G19" s="193"/>
      <c r="H19" s="194">
        <f>SUM(G39+H39)</f>
        <v>20</v>
      </c>
      <c r="I19" s="195" t="str">
        <f>TEXT(I31,)</f>
        <v>← Valor a pagar por mês para a Segurança Social</v>
      </c>
      <c r="J19" s="196"/>
      <c r="L19" s="58"/>
      <c r="M19" s="2"/>
      <c r="N19" s="2"/>
      <c r="O19" s="2"/>
      <c r="P19" s="2"/>
      <c r="Q19" s="2"/>
      <c r="R19" s="163"/>
    </row>
    <row r="20" spans="2:18" ht="16.2" thickBot="1" x14ac:dyDescent="0.35">
      <c r="B20" s="345" t="s">
        <v>140</v>
      </c>
      <c r="C20" s="346"/>
      <c r="D20" s="346"/>
      <c r="E20" s="346"/>
      <c r="F20" s="346"/>
      <c r="G20" s="197" t="str">
        <f>O27</f>
        <v/>
      </c>
      <c r="H20" s="198">
        <f>IF(K17=0%,0,SUM(G43+H43))</f>
        <v>0</v>
      </c>
      <c r="I20" s="199" t="str">
        <f>TEXT(I32,)</f>
        <v>← Está isento do pagamento para a Segurança Social</v>
      </c>
      <c r="J20" s="200"/>
      <c r="L20" s="201"/>
      <c r="M20" s="202"/>
      <c r="N20" s="202"/>
      <c r="O20" s="202"/>
      <c r="P20" s="202"/>
      <c r="Q20" s="202"/>
      <c r="R20" s="203"/>
    </row>
    <row r="21" spans="2:18" ht="15" thickTop="1" x14ac:dyDescent="0.3">
      <c r="B21" s="204" t="str">
        <f>TEXT(I30,)</f>
        <v>NOTA: Se não existirem rendimentos, ou se o valor das contribuições for igual/inferior a 20 euros, terá de pagar um valor mínimo de 20 euros de contribuição mensal referente aos rendimentos da categoria B</v>
      </c>
      <c r="C21" s="165"/>
      <c r="G21" s="205"/>
      <c r="H21" s="205"/>
      <c r="I21" s="205"/>
      <c r="K21" s="205"/>
      <c r="M21" s="2"/>
    </row>
    <row r="22" spans="2:18" x14ac:dyDescent="0.3">
      <c r="B22" s="165"/>
      <c r="C22" s="165"/>
      <c r="D22" s="165"/>
      <c r="E22" s="165"/>
      <c r="F22" s="165"/>
      <c r="G22" s="165"/>
      <c r="H22" s="162"/>
      <c r="I22" s="165"/>
      <c r="J22" s="165"/>
      <c r="K22" s="165"/>
      <c r="L22" s="165"/>
      <c r="M22" s="165"/>
      <c r="N22" s="165"/>
      <c r="O22" s="165"/>
      <c r="P22" s="165"/>
      <c r="Q22" s="165"/>
      <c r="R22" s="165"/>
    </row>
    <row r="23" spans="2:18" hidden="1" x14ac:dyDescent="0.3">
      <c r="B23" s="206">
        <v>0</v>
      </c>
      <c r="C23" s="165">
        <v>1</v>
      </c>
      <c r="D23" s="162">
        <v>0</v>
      </c>
      <c r="E23" s="162">
        <v>0</v>
      </c>
      <c r="F23" s="165"/>
      <c r="G23" s="165"/>
      <c r="H23" s="162"/>
      <c r="I23" s="165"/>
      <c r="J23" s="165"/>
      <c r="K23" s="165"/>
      <c r="L23" s="165"/>
      <c r="M23" s="165"/>
      <c r="N23" s="165"/>
      <c r="O23" s="165"/>
      <c r="P23" s="162"/>
      <c r="Q23" s="207"/>
      <c r="R23" s="165"/>
    </row>
    <row r="24" spans="2:18" ht="15.6" hidden="1" x14ac:dyDescent="0.3">
      <c r="B24" s="208" t="str">
        <f>IF(O29=1,"-5,00%",)</f>
        <v>-5,00%</v>
      </c>
      <c r="C24" s="165">
        <v>2</v>
      </c>
      <c r="D24" s="162">
        <f>IF(C34=2,(L9)*5%,)</f>
        <v>0</v>
      </c>
      <c r="E24" s="165"/>
      <c r="F24" s="162">
        <f>IF(C34=2,(L10+L11)*5%,)</f>
        <v>0</v>
      </c>
      <c r="G24" s="165"/>
      <c r="H24" s="165"/>
      <c r="I24" s="165"/>
      <c r="J24" s="165"/>
      <c r="K24" s="165" t="s">
        <v>131</v>
      </c>
      <c r="L24" s="165">
        <v>1</v>
      </c>
      <c r="M24" s="165"/>
      <c r="N24" s="209">
        <f>IF(L26=1,21.4%,IF(L26=2,25.2%))</f>
        <v>0.214</v>
      </c>
      <c r="O24" s="165"/>
      <c r="P24" s="210"/>
      <c r="Q24" s="207"/>
      <c r="R24" s="165"/>
    </row>
    <row r="25" spans="2:18" ht="15.6" hidden="1" x14ac:dyDescent="0.3">
      <c r="B25" s="211" t="str">
        <f>IF(O29=1,"+5,00%",)</f>
        <v>+5,00%</v>
      </c>
      <c r="C25" s="165">
        <v>3</v>
      </c>
      <c r="D25" s="165"/>
      <c r="E25" s="162">
        <f>IF(C34=3,(L9)*5%,)</f>
        <v>0</v>
      </c>
      <c r="F25" s="165"/>
      <c r="G25" s="162">
        <f>IF(C34=3,(L10+L11)*5%,)</f>
        <v>0</v>
      </c>
      <c r="H25" s="209"/>
      <c r="I25" s="165"/>
      <c r="J25" s="165"/>
      <c r="K25" s="165" t="s">
        <v>141</v>
      </c>
      <c r="L25" s="165">
        <v>2</v>
      </c>
      <c r="M25" s="165"/>
      <c r="N25" s="209"/>
      <c r="O25" s="209">
        <f>IF(D34+E34+F34+G34=0,0%,IF(D24&gt;=1,"com - 5%",IF(D26&gt;=1,"com - 10%",IF(D28&gt;=1,"com - 15%",IF(D30&gt;=1,"com - 20%",IF(D32&gt;=1,"com - 25%",IF(E25&gt;=1,"com + 5%",IF(E27&gt;=1,"com + 10%",IF(E29&gt;=1,"com + 15%",IF(E31&gt;=1,"com + 20%",IF(E33&gt;=1,"com + 25%",IF(F24&gt;=1,"com - 5%",IF(F26&gt;=1,"com - 10%",IF(F28&gt;=1,"com - 15%",IF(F30&gt;=1,"com - 20%",IF(F32&gt;=1,"com - 25%",IF(G25&gt;=1,"com + 5%",IF(G27&gt;=1,"com + 10%",IF(G29&gt;=1,"com + 15%",IF(G31&gt;=1,"com + 20%",IF(G33&gt;=1,"com + 25%",)))))))))))))))))))))</f>
        <v>0</v>
      </c>
      <c r="P25" s="210"/>
      <c r="Q25" s="165"/>
      <c r="R25" s="165"/>
    </row>
    <row r="26" spans="2:18" hidden="1" x14ac:dyDescent="0.3">
      <c r="B26" s="208" t="str">
        <f>IF(O29=1,"-10,00%",)</f>
        <v>-10,00%</v>
      </c>
      <c r="C26" s="165">
        <v>4</v>
      </c>
      <c r="D26" s="162">
        <f>IF(C34=4,(L9)*10%,)</f>
        <v>0</v>
      </c>
      <c r="E26" s="162"/>
      <c r="F26" s="162">
        <f>IF(C34=4,(L10+L11)*10%,)</f>
        <v>0</v>
      </c>
      <c r="G26" s="162"/>
      <c r="H26" s="162"/>
      <c r="I26" s="165"/>
      <c r="J26" s="165"/>
      <c r="K26" s="165"/>
      <c r="L26" s="165">
        <f>VLOOKUP(F15,K24:L25,2,FALSE)</f>
        <v>1</v>
      </c>
      <c r="M26" s="165"/>
      <c r="N26" s="165"/>
      <c r="O26" s="165"/>
      <c r="P26" s="209"/>
      <c r="Q26" s="207"/>
      <c r="R26" s="165"/>
    </row>
    <row r="27" spans="2:18" hidden="1" x14ac:dyDescent="0.3">
      <c r="B27" s="211" t="str">
        <f>IF(O29=1,"+10,00%",)</f>
        <v>+10,00%</v>
      </c>
      <c r="C27" s="165">
        <v>5</v>
      </c>
      <c r="D27" s="58"/>
      <c r="E27" s="162">
        <f>IF(C34=5,(L9)*10%,)</f>
        <v>0</v>
      </c>
      <c r="F27" s="58"/>
      <c r="G27" s="162">
        <f>IF(C34=5,(L10+L11)*10%,)</f>
        <v>0</v>
      </c>
      <c r="L27" s="212"/>
      <c r="M27" s="165"/>
      <c r="N27" s="165"/>
      <c r="O27" s="213" t="str">
        <f>IF(O25=0,"",O25)</f>
        <v/>
      </c>
      <c r="P27" s="165"/>
      <c r="Q27" s="207"/>
      <c r="R27" s="165"/>
    </row>
    <row r="28" spans="2:18" hidden="1" x14ac:dyDescent="0.3">
      <c r="B28" s="208" t="str">
        <f>IF(O29=1,"-15,00%",)</f>
        <v>-15,00%</v>
      </c>
      <c r="C28" s="165">
        <v>6</v>
      </c>
      <c r="D28" s="162">
        <f>IF(C34=6,(L9)*15%,)</f>
        <v>0</v>
      </c>
      <c r="E28" s="162"/>
      <c r="F28" s="162">
        <f>IF(C34=6,(L10+L11)*15%,)</f>
        <v>0</v>
      </c>
      <c r="G28" s="162"/>
      <c r="H28" s="162"/>
      <c r="I28" s="165"/>
      <c r="J28" s="165"/>
      <c r="K28" s="162"/>
      <c r="L28" s="165"/>
      <c r="M28" s="165"/>
      <c r="N28" s="165"/>
      <c r="O28" s="165"/>
      <c r="P28" s="165"/>
      <c r="Q28" s="207"/>
      <c r="R28" s="165"/>
    </row>
    <row r="29" spans="2:18" hidden="1" x14ac:dyDescent="0.3">
      <c r="B29" s="211" t="str">
        <f>IF(O29=1,"+15,00%",)</f>
        <v>+15,00%</v>
      </c>
      <c r="C29" s="165">
        <v>7</v>
      </c>
      <c r="D29" s="165"/>
      <c r="E29" s="162">
        <f>IF(C34=7,(L9)*15%,)</f>
        <v>0</v>
      </c>
      <c r="F29" s="165"/>
      <c r="G29" s="162">
        <f>IF(C34=7,(L10+L11)*15%,)</f>
        <v>0</v>
      </c>
      <c r="H29" s="162"/>
      <c r="I29" s="165"/>
      <c r="J29" s="165"/>
      <c r="K29" s="165"/>
      <c r="L29" s="165"/>
      <c r="M29" s="165"/>
      <c r="N29" s="165"/>
      <c r="O29" s="165">
        <f>IF(0&lt;&gt;1,1,)</f>
        <v>1</v>
      </c>
      <c r="P29" s="165"/>
      <c r="Q29" s="207"/>
      <c r="R29" s="165"/>
    </row>
    <row r="30" spans="2:18" ht="15.6" hidden="1" x14ac:dyDescent="0.3">
      <c r="B30" s="208" t="str">
        <f>IF(O29=1,"-20,00%",)</f>
        <v>-20,00%</v>
      </c>
      <c r="C30" s="165">
        <v>8</v>
      </c>
      <c r="D30" s="162">
        <f>IF(C34=8,(L9)*20%,)</f>
        <v>0</v>
      </c>
      <c r="E30" s="162"/>
      <c r="F30" s="162">
        <f>IF(C34=8,(L10+L11)*20%,)</f>
        <v>0</v>
      </c>
      <c r="G30" s="162"/>
      <c r="H30" s="162"/>
      <c r="I30" s="214" t="str">
        <f>IF(H19=20,"NOTA: Se não existirem rendimentos, ou se o valor das contribuições for igual/inferior a 20 euros, terá de pagar um valor mínimo de 20 euros de contribuição mensal referente aos rendimentos da categoria B",)</f>
        <v>NOTA: Se não existirem rendimentos, ou se o valor das contribuições for igual/inferior a 20 euros, terá de pagar um valor mínimo de 20 euros de contribuição mensal referente aos rendimentos da categoria B</v>
      </c>
      <c r="J30" s="165"/>
      <c r="K30" s="165"/>
      <c r="L30" s="165"/>
      <c r="M30" s="165"/>
      <c r="N30" s="165"/>
      <c r="O30" s="215"/>
      <c r="P30" s="165"/>
      <c r="Q30" s="207"/>
      <c r="R30" s="165"/>
    </row>
    <row r="31" spans="2:18" hidden="1" x14ac:dyDescent="0.3">
      <c r="B31" s="211" t="str">
        <f>IF(O29=1,"+20,00%",)</f>
        <v>+20,00%</v>
      </c>
      <c r="C31" s="165">
        <v>9</v>
      </c>
      <c r="D31" s="165"/>
      <c r="E31" s="162">
        <f>IF(C34=9,(L9)*20%,)</f>
        <v>0</v>
      </c>
      <c r="F31" s="165"/>
      <c r="G31" s="162">
        <f>IF(C34=9,(L10+L11)*20%,)</f>
        <v>0</v>
      </c>
      <c r="H31" s="162"/>
      <c r="I31" s="165" t="str">
        <f>IF(H19=0,"← Está isento do pagamento para a Segurança Social",IF(H19&gt;=1,"← Valor a pagar por mês para a Segurança Social",))</f>
        <v>← Valor a pagar por mês para a Segurança Social</v>
      </c>
      <c r="J31" s="165"/>
      <c r="K31" s="165"/>
      <c r="L31" s="165"/>
      <c r="M31" s="165"/>
      <c r="N31" s="165"/>
      <c r="O31" s="165"/>
      <c r="P31" s="165"/>
      <c r="Q31" s="207"/>
      <c r="R31" s="165"/>
    </row>
    <row r="32" spans="2:18" hidden="1" x14ac:dyDescent="0.3">
      <c r="B32" s="208" t="str">
        <f>IF(O29=1,"-25,00%",)</f>
        <v>-25,00%</v>
      </c>
      <c r="C32" s="165">
        <v>10</v>
      </c>
      <c r="D32" s="162">
        <f>IF(C34=10,(L9)*25%,)</f>
        <v>0</v>
      </c>
      <c r="E32" s="162"/>
      <c r="F32" s="162">
        <f>IF(C34=10,(L10+L11)*25%,)</f>
        <v>0</v>
      </c>
      <c r="G32" s="162"/>
      <c r="H32" s="162"/>
      <c r="I32" s="165" t="str">
        <f>IF(H20=0,"← Está isento do pagamento para a Segurança Social",IF(H20&gt;=1,"← Valor a pagar por mês para a Segurança Social",))</f>
        <v>← Está isento do pagamento para a Segurança Social</v>
      </c>
      <c r="J32" s="165"/>
      <c r="K32" s="165"/>
      <c r="L32" s="165"/>
      <c r="M32" s="165"/>
      <c r="N32" s="165"/>
      <c r="P32" s="165"/>
      <c r="Q32" s="207"/>
      <c r="R32" s="165"/>
    </row>
    <row r="33" spans="2:18" hidden="1" x14ac:dyDescent="0.3">
      <c r="B33" s="211" t="str">
        <f>IF(O29=1,"+25,00%",)</f>
        <v>+25,00%</v>
      </c>
      <c r="C33" s="165">
        <v>11</v>
      </c>
      <c r="D33" s="165"/>
      <c r="E33" s="162">
        <f>IF(C34=11,(L9)*25%,)</f>
        <v>0</v>
      </c>
      <c r="F33" s="165"/>
      <c r="G33" s="162">
        <f>IF(C34=11,(L10+L11)*25%,)</f>
        <v>0</v>
      </c>
      <c r="H33" s="162"/>
      <c r="I33" s="165"/>
      <c r="J33" s="165"/>
      <c r="K33" s="165"/>
      <c r="L33" s="165"/>
      <c r="M33" s="165"/>
      <c r="N33" s="165"/>
      <c r="O33" s="165"/>
      <c r="P33" s="165"/>
      <c r="Q33" s="207"/>
      <c r="R33" s="165"/>
    </row>
    <row r="34" spans="2:18" hidden="1" x14ac:dyDescent="0.3">
      <c r="B34" s="216"/>
      <c r="C34" s="217">
        <f>VLOOKUP(K17,B23:C33,2,FALSE)</f>
        <v>1</v>
      </c>
      <c r="D34" s="218">
        <f>SUM(D24:D33)</f>
        <v>0</v>
      </c>
      <c r="E34" s="218">
        <f>SUM(E23:E33)</f>
        <v>0</v>
      </c>
      <c r="F34" s="218">
        <f>SUM(F24:F33)</f>
        <v>0</v>
      </c>
      <c r="G34" s="218">
        <f>SUM(G23:G33)</f>
        <v>0</v>
      </c>
      <c r="H34" s="162"/>
      <c r="I34" s="165"/>
      <c r="J34" s="165"/>
      <c r="K34" s="165"/>
      <c r="L34" s="165"/>
      <c r="M34" s="165"/>
      <c r="N34" s="165"/>
      <c r="O34" s="165"/>
      <c r="P34" s="165"/>
      <c r="Q34" s="207"/>
      <c r="R34" s="165"/>
    </row>
    <row r="35" spans="2:18" ht="18.600000000000001" hidden="1" x14ac:dyDescent="0.3">
      <c r="B35" s="165"/>
      <c r="C35" s="165"/>
      <c r="D35" s="219" t="s">
        <v>142</v>
      </c>
      <c r="E35" s="219" t="s">
        <v>143</v>
      </c>
      <c r="F35" s="219" t="s">
        <v>142</v>
      </c>
      <c r="G35" s="219" t="s">
        <v>143</v>
      </c>
      <c r="H35" s="162"/>
      <c r="I35" s="165"/>
      <c r="J35" s="165"/>
      <c r="K35" s="162"/>
      <c r="L35" s="165"/>
      <c r="M35" s="165"/>
      <c r="N35" s="165"/>
      <c r="O35" s="165"/>
      <c r="P35" s="165"/>
      <c r="Q35" s="207"/>
      <c r="R35" s="165"/>
    </row>
    <row r="36" spans="2:18" ht="18.600000000000001" hidden="1" x14ac:dyDescent="0.3">
      <c r="B36" s="247"/>
      <c r="C36" s="221"/>
      <c r="D36" s="222"/>
      <c r="E36" s="222"/>
      <c r="F36" s="222"/>
      <c r="G36" s="222"/>
      <c r="H36" s="221"/>
      <c r="I36" s="165"/>
      <c r="J36" s="165"/>
      <c r="K36" s="162"/>
      <c r="L36" s="162"/>
      <c r="M36" s="165"/>
      <c r="N36" s="162"/>
      <c r="O36" s="162"/>
      <c r="P36" s="165"/>
      <c r="Q36" s="207"/>
      <c r="R36" s="165"/>
    </row>
    <row r="37" spans="2:18" ht="17.399999999999999" hidden="1" x14ac:dyDescent="0.45">
      <c r="B37" s="248" t="s">
        <v>144</v>
      </c>
      <c r="C37" s="223"/>
      <c r="D37" s="224" t="s">
        <v>134</v>
      </c>
      <c r="E37" s="225" t="s">
        <v>145</v>
      </c>
      <c r="F37" s="226"/>
      <c r="G37" s="227"/>
      <c r="H37" s="223"/>
      <c r="I37" s="165"/>
      <c r="J37" s="165"/>
      <c r="K37" s="162"/>
      <c r="L37" s="165"/>
      <c r="M37" s="165"/>
      <c r="N37" s="165"/>
      <c r="O37" s="165"/>
      <c r="P37" s="165"/>
      <c r="Q37" s="207"/>
      <c r="R37" s="165"/>
    </row>
    <row r="38" spans="2:18" hidden="1" x14ac:dyDescent="0.3">
      <c r="B38" s="249">
        <f>L9*M9+L10*M10+L11*M11</f>
        <v>0</v>
      </c>
      <c r="C38" s="228">
        <f>(B38/3)</f>
        <v>0</v>
      </c>
      <c r="D38" s="229">
        <f>IF(C38&lt;=F14,(C38)*N24,IF(C38&gt;F14,(F14)*N24,))</f>
        <v>0</v>
      </c>
      <c r="E38" s="10">
        <f>IF((C38-F13)*N24&gt;=D38,D38,(C38-F13)*N24)</f>
        <v>-367.13839999999999</v>
      </c>
      <c r="F38" s="230"/>
      <c r="G38" s="10"/>
      <c r="H38" s="231"/>
      <c r="I38" s="232"/>
      <c r="J38" s="165"/>
      <c r="K38" s="162"/>
      <c r="L38" s="218"/>
      <c r="M38" s="165"/>
      <c r="N38" s="165"/>
      <c r="O38" s="165"/>
      <c r="P38" s="165"/>
      <c r="Q38" s="207"/>
      <c r="R38" s="165"/>
    </row>
    <row r="39" spans="2:18" hidden="1" x14ac:dyDescent="0.3">
      <c r="B39" s="347" t="s">
        <v>146</v>
      </c>
      <c r="C39" s="348"/>
      <c r="D39" s="10">
        <f>IF(K16="não",IF(D38&lt;0,0,D38))</f>
        <v>0</v>
      </c>
      <c r="E39" s="10" t="b">
        <f>IF(K16="sim",IF(E38&lt;0,0,E38))</f>
        <v>0</v>
      </c>
      <c r="F39" s="226">
        <f>SUM(D39+E39,)</f>
        <v>0</v>
      </c>
      <c r="G39" s="161">
        <f>IF(K16="não",IF(F39&lt;=20,20,))</f>
        <v>20</v>
      </c>
      <c r="H39" s="233">
        <f>IF(F39&gt;20,F39,)</f>
        <v>0</v>
      </c>
      <c r="I39" s="165"/>
      <c r="J39" s="165"/>
      <c r="K39" s="162"/>
      <c r="L39" s="218"/>
      <c r="M39" s="165"/>
      <c r="N39" s="165"/>
      <c r="O39" s="165"/>
      <c r="P39" s="165"/>
      <c r="Q39" s="207"/>
      <c r="R39" s="165"/>
    </row>
    <row r="40" spans="2:18" hidden="1" x14ac:dyDescent="0.3">
      <c r="B40" s="250"/>
      <c r="C40" s="235"/>
      <c r="D40" s="234"/>
      <c r="E40" s="234"/>
      <c r="F40" s="234"/>
      <c r="G40" s="236"/>
      <c r="H40" s="235"/>
      <c r="I40" s="165"/>
      <c r="J40" s="165"/>
      <c r="K40" s="162"/>
      <c r="L40" s="165"/>
      <c r="M40" s="165"/>
      <c r="N40" s="165"/>
      <c r="O40" s="165"/>
      <c r="P40" s="165"/>
      <c r="Q40" s="207"/>
      <c r="R40" s="165"/>
    </row>
    <row r="41" spans="2:18" hidden="1" x14ac:dyDescent="0.3">
      <c r="B41" s="251">
        <f>L9*M9+L10*M10+L11*M11+B44+B45-B46-B47</f>
        <v>0</v>
      </c>
      <c r="C41" s="237">
        <f>B41/3</f>
        <v>0</v>
      </c>
      <c r="D41" s="238" t="s">
        <v>147</v>
      </c>
      <c r="E41" s="238" t="s">
        <v>148</v>
      </c>
      <c r="F41" s="151"/>
      <c r="G41" s="220"/>
      <c r="H41" s="239"/>
      <c r="I41" s="165"/>
      <c r="J41" s="165"/>
      <c r="K41" s="165"/>
      <c r="L41" s="165"/>
      <c r="M41" s="165"/>
      <c r="N41" s="165"/>
      <c r="O41" s="165"/>
      <c r="P41" s="165"/>
      <c r="Q41" s="207"/>
      <c r="R41" s="165"/>
    </row>
    <row r="42" spans="2:18" hidden="1" x14ac:dyDescent="0.3">
      <c r="B42" s="3"/>
      <c r="C42" s="240"/>
      <c r="D42" s="161">
        <f>IF(D46&gt;=D47,D47,SUM(D39+D45))</f>
        <v>0</v>
      </c>
      <c r="E42" s="241">
        <f>IF((C41-F13)*N24&gt;=D38,D38,(C41-F13)*N24)</f>
        <v>-367.13839999999999</v>
      </c>
      <c r="F42" s="161"/>
      <c r="G42" s="161"/>
      <c r="H42" s="1"/>
      <c r="I42" s="165"/>
      <c r="J42" s="165"/>
      <c r="K42" s="165"/>
      <c r="L42" s="162"/>
      <c r="M42" s="165"/>
      <c r="N42" s="165"/>
      <c r="O42" s="165"/>
      <c r="P42" s="165"/>
      <c r="Q42" s="207"/>
      <c r="R42" s="165"/>
    </row>
    <row r="43" spans="2:18" hidden="1" x14ac:dyDescent="0.3">
      <c r="B43" s="347" t="s">
        <v>149</v>
      </c>
      <c r="C43" s="348"/>
      <c r="D43" s="10">
        <f>IF(K16="não",IF(D42&lt;0,0,D42))</f>
        <v>0</v>
      </c>
      <c r="E43" s="10" t="b">
        <f>IF(K16="sim",IF(E42&lt;0,0,E42))</f>
        <v>0</v>
      </c>
      <c r="F43" s="226">
        <f>SUM(D43+E43)</f>
        <v>0</v>
      </c>
      <c r="G43" s="161">
        <f>IF(K16="não",IF(F43&lt;=20,F46,))</f>
        <v>20</v>
      </c>
      <c r="H43" s="231">
        <f>IF(F43&gt;20,F43,)</f>
        <v>0</v>
      </c>
      <c r="I43" s="165"/>
      <c r="J43" s="165"/>
      <c r="K43" s="165"/>
      <c r="L43" s="165"/>
      <c r="M43" s="165"/>
      <c r="N43" s="165"/>
      <c r="O43" s="165"/>
      <c r="P43" s="165"/>
      <c r="Q43" s="207"/>
      <c r="R43" s="165"/>
    </row>
    <row r="44" spans="2:18" hidden="1" x14ac:dyDescent="0.3">
      <c r="B44" s="252">
        <f>(E34)*M9</f>
        <v>0</v>
      </c>
      <c r="C44" s="242"/>
      <c r="D44" s="58"/>
      <c r="E44" s="2"/>
      <c r="F44" s="161">
        <f>(F45*K17)</f>
        <v>0</v>
      </c>
      <c r="G44" s="58"/>
      <c r="H44" s="242"/>
      <c r="I44" s="165"/>
      <c r="J44" s="165"/>
      <c r="K44" s="162"/>
      <c r="L44" s="165"/>
      <c r="M44" s="165"/>
      <c r="N44" s="165"/>
      <c r="O44" s="165"/>
      <c r="P44" s="165"/>
      <c r="Q44" s="207"/>
      <c r="R44" s="165"/>
    </row>
    <row r="45" spans="2:18" hidden="1" x14ac:dyDescent="0.3">
      <c r="B45" s="252">
        <f>G34*M10</f>
        <v>0</v>
      </c>
      <c r="C45" s="242"/>
      <c r="D45" s="161">
        <f>D39*K17</f>
        <v>0</v>
      </c>
      <c r="E45" s="161"/>
      <c r="F45" s="161">
        <f>IF(K16="sim",0,IF(K16="não",IF(F43&lt;=20,20,)))</f>
        <v>20</v>
      </c>
      <c r="G45" s="58"/>
      <c r="H45" s="242"/>
      <c r="I45" s="165"/>
      <c r="J45" s="165"/>
      <c r="K45" s="165"/>
      <c r="L45" s="165"/>
      <c r="M45" s="165"/>
      <c r="N45" s="165"/>
      <c r="O45" s="165"/>
      <c r="P45" s="165"/>
      <c r="Q45" s="165"/>
      <c r="R45" s="165"/>
    </row>
    <row r="46" spans="2:18" hidden="1" x14ac:dyDescent="0.3">
      <c r="B46" s="252">
        <f>D34*M9</f>
        <v>0</v>
      </c>
      <c r="C46" s="240">
        <f>B44+B45+B46+B47</f>
        <v>0</v>
      </c>
      <c r="D46" s="161">
        <f>D39+D45</f>
        <v>0</v>
      </c>
      <c r="E46" s="10"/>
      <c r="F46" s="161">
        <f>IF(F45+F44&lt;=20,20,SUM(F44:F45))</f>
        <v>20</v>
      </c>
      <c r="G46" s="58"/>
      <c r="H46" s="240"/>
      <c r="I46" s="165"/>
      <c r="J46" s="165"/>
      <c r="K46" s="165"/>
      <c r="L46" s="165"/>
      <c r="M46" s="165"/>
      <c r="N46" s="165"/>
      <c r="O46" s="165"/>
      <c r="P46" s="165"/>
      <c r="Q46" s="165"/>
      <c r="R46" s="165"/>
    </row>
    <row r="47" spans="2:18" hidden="1" x14ac:dyDescent="0.3">
      <c r="B47" s="253">
        <f>F34*M10</f>
        <v>0</v>
      </c>
      <c r="C47" s="243"/>
      <c r="D47" s="254">
        <f>F14*G15</f>
        <v>1101.4151999999999</v>
      </c>
      <c r="E47" s="236"/>
      <c r="F47" s="244"/>
      <c r="G47" s="244"/>
      <c r="H47" s="245"/>
      <c r="I47" s="165"/>
      <c r="J47" s="165"/>
      <c r="K47" s="165"/>
      <c r="L47" s="165"/>
      <c r="M47" s="165"/>
      <c r="N47" s="165"/>
      <c r="O47" s="165"/>
      <c r="P47" s="165"/>
      <c r="Q47" s="165"/>
      <c r="R47" s="165"/>
    </row>
    <row r="48" spans="2:18" hidden="1" x14ac:dyDescent="0.3">
      <c r="B48" s="58"/>
      <c r="C48" s="165"/>
      <c r="E48" s="162"/>
      <c r="F48" s="162"/>
      <c r="G48" s="165"/>
      <c r="H48" s="162"/>
      <c r="I48" s="165"/>
      <c r="J48" s="165"/>
      <c r="K48" s="162"/>
      <c r="L48" s="162"/>
      <c r="M48" s="165"/>
      <c r="N48" s="165"/>
      <c r="O48" s="165"/>
      <c r="P48" s="165"/>
      <c r="Q48" s="165"/>
      <c r="R48" s="165"/>
    </row>
    <row r="49" spans="2:18" x14ac:dyDescent="0.3">
      <c r="B49" s="165"/>
      <c r="C49" s="165"/>
      <c r="D49" s="165"/>
      <c r="E49" s="232"/>
      <c r="F49" s="162"/>
      <c r="G49" s="165"/>
      <c r="H49" s="162"/>
      <c r="I49" s="165"/>
      <c r="J49" s="165"/>
      <c r="K49" s="162"/>
      <c r="L49" s="162"/>
      <c r="M49" s="165"/>
      <c r="N49" s="165"/>
      <c r="O49" s="165"/>
      <c r="P49" s="165"/>
      <c r="Q49" s="165"/>
      <c r="R49" s="165"/>
    </row>
  </sheetData>
  <sheetProtection password="CA5D" sheet="1" objects="1" scenarios="1" selectLockedCells="1"/>
  <mergeCells count="14">
    <mergeCell ref="B20:F20"/>
    <mergeCell ref="B39:C39"/>
    <mergeCell ref="B43:C43"/>
    <mergeCell ref="K7:P7"/>
    <mergeCell ref="B3:R3"/>
    <mergeCell ref="B4:R4"/>
    <mergeCell ref="B6:F7"/>
    <mergeCell ref="H6:J6"/>
    <mergeCell ref="K6:R6"/>
    <mergeCell ref="H7:J7"/>
    <mergeCell ref="B15:E15"/>
    <mergeCell ref="B16:G16"/>
    <mergeCell ref="B17:H17"/>
    <mergeCell ref="B19:F19"/>
  </mergeCells>
  <dataValidations count="2">
    <dataValidation type="list" allowBlank="1" showInputMessage="1" showErrorMessage="1" sqref="F15" xr:uid="{07894C04-F93B-4255-8E28-82FA80C47F5E}">
      <formula1>$K$24:$K$25</formula1>
    </dataValidation>
    <dataValidation type="list" allowBlank="1" showInputMessage="1" showErrorMessage="1" sqref="K17" xr:uid="{416B276F-4FC6-47A9-B7FF-E3F365D5AC24}">
      <formula1>$B$23:$B$33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e-Fatura 2018</vt:lpstr>
      <vt:lpstr>Cálculo R. Simplificado 2018</vt:lpstr>
      <vt:lpstr>Simulador TI Seg. Social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Mesquita</dc:creator>
  <cp:lastModifiedBy>Francisco Mesquita</cp:lastModifiedBy>
  <cp:lastPrinted>2018-10-27T20:16:33Z</cp:lastPrinted>
  <dcterms:created xsi:type="dcterms:W3CDTF">2017-12-01T18:47:35Z</dcterms:created>
  <dcterms:modified xsi:type="dcterms:W3CDTF">2019-01-01T22:49:37Z</dcterms:modified>
</cp:coreProperties>
</file>